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Quality Indicators\2027\BioMed\"/>
    </mc:Choice>
  </mc:AlternateContent>
  <xr:revisionPtr revIDLastSave="0" documentId="13_ncr:1_{08F63DDF-4C04-4E91-9190-58E7184A933F}" xr6:coauthVersionLast="47" xr6:coauthVersionMax="47" xr10:uidLastSave="{00000000-0000-0000-0000-000000000000}"/>
  <bookViews>
    <workbookView xWindow="22932" yWindow="-108" windowWidth="23256" windowHeight="12456" xr2:uid="{C9A42036-96F1-4B54-95C9-44FDDE9C75DC}"/>
  </bookViews>
  <sheets>
    <sheet name="Biomedical Engineering " sheetId="1" r:id="rId1"/>
    <sheet name="Results &amp; Data Trending " sheetId="3" r:id="rId2"/>
    <sheet name="QAPI Completion Guide" sheetId="2" r:id="rId3"/>
    <sheet name="Example " sheetId="4" r:id="rId4"/>
  </sheets>
  <definedNames>
    <definedName name="_xlnm.Print_Area" localSheetId="1">'Results &amp; Data Trending '!$A$1:$H$34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3" i="3" l="1"/>
  <c r="H302" i="3"/>
  <c r="H301" i="3"/>
  <c r="H300" i="3" a="1"/>
  <c r="H300" i="3" s="1"/>
  <c r="H299" i="3" a="1"/>
  <c r="H299" i="3" s="1"/>
  <c r="H298" i="3" a="1"/>
  <c r="H298" i="3" s="1"/>
  <c r="H297" i="3" a="1"/>
  <c r="H297" i="3" s="1"/>
  <c r="H296" i="3" a="1"/>
  <c r="H296" i="3" s="1"/>
  <c r="H295" i="3" a="1"/>
  <c r="H295" i="3" s="1"/>
  <c r="H294" i="3" a="1"/>
  <c r="H294" i="3" s="1"/>
  <c r="H293" i="3" a="1"/>
  <c r="H293" i="3" s="1"/>
  <c r="H292" i="3" a="1"/>
  <c r="H292" i="3" s="1"/>
  <c r="H291" i="3" a="1"/>
  <c r="H291" i="3" s="1"/>
  <c r="H290" i="3" a="1"/>
  <c r="H290" i="3" s="1"/>
  <c r="H289" i="3" a="1"/>
  <c r="H289" i="3" s="1"/>
  <c r="H288" i="3" a="1"/>
  <c r="H288" i="3" s="1"/>
  <c r="H287" i="3" a="1"/>
  <c r="H287" i="3" s="1"/>
  <c r="H286" i="3" a="1"/>
  <c r="H286" i="3" s="1"/>
  <c r="H285" i="3" a="1"/>
  <c r="H285" i="3" s="1"/>
  <c r="H284" i="3" a="1"/>
  <c r="H284" i="3" s="1"/>
  <c r="H283" i="3" a="1"/>
  <c r="H283" i="3" s="1"/>
  <c r="H282" i="3" a="1"/>
  <c r="H282" i="3" s="1"/>
  <c r="H281" i="3" a="1"/>
  <c r="H281" i="3" s="1"/>
  <c r="H280" i="3" a="1"/>
  <c r="H280" i="3" s="1"/>
  <c r="H279" i="3" a="1"/>
  <c r="H279" i="3" s="1"/>
  <c r="H278" i="3" a="1"/>
  <c r="H278" i="3" s="1"/>
  <c r="H277" i="3" a="1"/>
  <c r="H277" i="3" s="1"/>
  <c r="H276" i="3" a="1"/>
  <c r="H276" i="3" s="1"/>
  <c r="H275" i="3" a="1"/>
  <c r="H275" i="3" s="1"/>
  <c r="H274" i="3" a="1"/>
  <c r="H274" i="3" s="1"/>
  <c r="H273" i="3" a="1"/>
  <c r="H273" i="3" s="1"/>
  <c r="H272" i="3" a="1"/>
  <c r="H272" i="3" s="1"/>
  <c r="H271" i="3" a="1"/>
  <c r="H271" i="3" s="1"/>
  <c r="H270" i="3" a="1"/>
  <c r="H270" i="3" s="1"/>
  <c r="H269" i="3" a="1"/>
  <c r="H269" i="3" s="1"/>
  <c r="H268" i="3" a="1"/>
  <c r="H268" i="3" s="1"/>
  <c r="H267" i="3" a="1"/>
  <c r="H267" i="3" s="1"/>
  <c r="H266" i="3" a="1"/>
  <c r="H266" i="3" s="1"/>
  <c r="H265" i="3" a="1"/>
  <c r="H265" i="3" s="1"/>
  <c r="H264" i="3" a="1"/>
  <c r="H264" i="3" s="1"/>
  <c r="H263" i="3" a="1"/>
  <c r="H263" i="3" s="1"/>
  <c r="H262" i="3" a="1"/>
  <c r="H262" i="3" s="1"/>
  <c r="H261" i="3" a="1"/>
  <c r="H261" i="3" s="1"/>
  <c r="H260" i="3" a="1"/>
  <c r="H260" i="3" s="1"/>
  <c r="H259" i="3" a="1"/>
  <c r="H259" i="3" s="1"/>
  <c r="H258" i="3" a="1"/>
  <c r="H258" i="3" s="1"/>
  <c r="H257" i="3" a="1"/>
  <c r="H257" i="3" s="1"/>
  <c r="H256" i="3" a="1"/>
  <c r="H256" i="3" s="1"/>
  <c r="H255" i="3" a="1"/>
  <c r="H255" i="3" s="1"/>
  <c r="H254" i="3" a="1"/>
  <c r="H254" i="3" s="1"/>
  <c r="H253" i="3" a="1"/>
  <c r="H253" i="3" s="1"/>
  <c r="H252" i="3" a="1"/>
  <c r="H252" i="3" s="1"/>
  <c r="H251" i="3" a="1"/>
  <c r="H251" i="3" s="1"/>
  <c r="H250" i="3" a="1"/>
  <c r="H250" i="3" s="1"/>
  <c r="H249" i="3" a="1"/>
  <c r="H249" i="3" s="1"/>
  <c r="H248" i="3" a="1"/>
  <c r="H248" i="3" s="1"/>
  <c r="H247" i="3" a="1"/>
  <c r="H247" i="3" s="1"/>
  <c r="H246" i="3" a="1"/>
  <c r="H246" i="3" s="1"/>
  <c r="H245" i="3" a="1"/>
  <c r="H245" i="3" s="1"/>
  <c r="H244" i="3" a="1"/>
  <c r="H244" i="3" s="1"/>
  <c r="H243" i="3" a="1"/>
  <c r="H243" i="3" s="1"/>
  <c r="H242" i="3" a="1"/>
  <c r="H242" i="3" s="1"/>
  <c r="H241" i="3" a="1"/>
  <c r="H241" i="3" s="1"/>
  <c r="H240" i="3" a="1"/>
  <c r="H240" i="3" s="1"/>
  <c r="H239" i="3" a="1"/>
  <c r="H239" i="3" s="1"/>
  <c r="H238" i="3" a="1"/>
  <c r="H238" i="3" s="1"/>
  <c r="H237" i="3" a="1"/>
  <c r="H237" i="3" s="1"/>
  <c r="H236" i="3" a="1"/>
  <c r="H236" i="3" s="1"/>
  <c r="H235" i="3" a="1"/>
  <c r="H235" i="3" s="1"/>
  <c r="H234" i="3" a="1"/>
  <c r="H234" i="3" s="1"/>
  <c r="H233" i="3" a="1"/>
  <c r="H233" i="3" s="1"/>
  <c r="H232" i="3" a="1"/>
  <c r="H232" i="3" s="1"/>
  <c r="H231" i="3" a="1"/>
  <c r="H231" i="3" s="1"/>
  <c r="H230" i="3" a="1"/>
  <c r="H230" i="3" s="1"/>
  <c r="H229" i="3" a="1"/>
  <c r="H229" i="3" s="1"/>
  <c r="H228" i="3" a="1"/>
  <c r="H228" i="3" s="1"/>
  <c r="H227" i="3" a="1"/>
  <c r="H227" i="3" s="1"/>
  <c r="H226" i="3" a="1"/>
  <c r="H226" i="3" s="1"/>
  <c r="H225" i="3" a="1"/>
  <c r="H225" i="3" s="1"/>
  <c r="H224" i="3" a="1"/>
  <c r="H224" i="3" s="1"/>
  <c r="H223" i="3" a="1"/>
  <c r="H223" i="3" s="1"/>
  <c r="H222" i="3" a="1"/>
  <c r="H222" i="3" s="1"/>
  <c r="H221" i="3" a="1"/>
  <c r="H221" i="3" s="1"/>
  <c r="H220" i="3" a="1"/>
  <c r="H220" i="3" s="1"/>
  <c r="H219" i="3" a="1"/>
  <c r="H219" i="3" s="1"/>
  <c r="H218" i="3" a="1"/>
  <c r="H218" i="3" s="1"/>
  <c r="H217" i="3" a="1"/>
  <c r="H217" i="3" s="1"/>
  <c r="H216" i="3" a="1"/>
  <c r="H216" i="3" s="1"/>
  <c r="H215" i="3" a="1"/>
  <c r="H215" i="3" s="1"/>
  <c r="H214" i="3" a="1"/>
  <c r="H214" i="3" s="1"/>
  <c r="H213" i="3" a="1"/>
  <c r="H213" i="3" s="1"/>
  <c r="H212" i="3" a="1"/>
  <c r="H212" i="3" s="1"/>
  <c r="H211" i="3" a="1"/>
  <c r="H211" i="3" s="1"/>
  <c r="H210" i="3" a="1"/>
  <c r="H210" i="3" s="1"/>
  <c r="H209" i="3" a="1"/>
  <c r="H209" i="3" s="1"/>
  <c r="H208" i="3" a="1"/>
  <c r="H208" i="3" s="1"/>
  <c r="H207" i="3" a="1"/>
  <c r="H207" i="3" s="1"/>
  <c r="H206" i="3" a="1"/>
  <c r="H206" i="3" s="1"/>
  <c r="H205" i="3" a="1"/>
  <c r="H205" i="3" s="1"/>
  <c r="H204" i="3" a="1"/>
  <c r="H204" i="3" s="1"/>
  <c r="H203" i="3" a="1"/>
  <c r="H203" i="3" s="1"/>
  <c r="H202" i="3" a="1"/>
  <c r="H202" i="3" s="1"/>
  <c r="H201" i="3" a="1"/>
  <c r="H201" i="3" s="1"/>
  <c r="H200" i="3" a="1"/>
  <c r="H200" i="3" s="1"/>
  <c r="H199" i="3" a="1"/>
  <c r="H199" i="3" s="1"/>
  <c r="H198" i="3" a="1"/>
  <c r="H198" i="3" s="1"/>
  <c r="H197" i="3" a="1"/>
  <c r="H197" i="3" s="1"/>
  <c r="H196" i="3" a="1"/>
  <c r="H196" i="3" s="1"/>
  <c r="H195" i="3" a="1"/>
  <c r="H195" i="3" s="1"/>
  <c r="H194" i="3" a="1"/>
  <c r="H194" i="3" s="1"/>
  <c r="H193" i="3" a="1"/>
  <c r="H193" i="3" s="1"/>
  <c r="H192" i="3" a="1"/>
  <c r="H192" i="3" s="1"/>
  <c r="H191" i="3" a="1"/>
  <c r="H191" i="3" s="1"/>
  <c r="H190" i="3" a="1"/>
  <c r="H190" i="3" s="1"/>
  <c r="H189" i="3" a="1"/>
  <c r="H189" i="3" s="1"/>
  <c r="H188" i="3" a="1"/>
  <c r="H188" i="3" s="1"/>
  <c r="H187" i="3" a="1"/>
  <c r="H187" i="3" s="1"/>
  <c r="H186" i="3" a="1"/>
  <c r="H186" i="3" s="1"/>
  <c r="H185" i="3" a="1"/>
  <c r="H185" i="3" s="1"/>
  <c r="H184" i="3" a="1"/>
  <c r="H184" i="3" s="1"/>
  <c r="H183" i="3" a="1"/>
  <c r="H183" i="3" s="1"/>
  <c r="H182" i="3" a="1"/>
  <c r="H182" i="3" s="1"/>
  <c r="H181" i="3" a="1"/>
  <c r="H181" i="3" s="1"/>
  <c r="H180" i="3" a="1"/>
  <c r="H180" i="3" s="1"/>
  <c r="H179" i="3" a="1"/>
  <c r="H179" i="3" s="1"/>
  <c r="H178" i="3" a="1"/>
  <c r="H178" i="3" s="1"/>
  <c r="H177" i="3" a="1"/>
  <c r="H177" i="3" s="1"/>
  <c r="H176" i="3" a="1"/>
  <c r="H176" i="3" s="1"/>
  <c r="H175" i="3" a="1"/>
  <c r="H175" i="3" s="1"/>
  <c r="H174" i="3" a="1"/>
  <c r="H174" i="3" s="1"/>
  <c r="H173" i="3" a="1"/>
  <c r="H173" i="3" s="1"/>
  <c r="H172" i="3" a="1"/>
  <c r="H172" i="3" s="1"/>
  <c r="H171" i="3" a="1"/>
  <c r="H171" i="3" s="1"/>
  <c r="H170" i="3" a="1"/>
  <c r="H170" i="3" s="1"/>
  <c r="H169" i="3" a="1"/>
  <c r="H169" i="3" s="1"/>
  <c r="H168" i="3" a="1"/>
  <c r="H168" i="3" s="1"/>
  <c r="H167" i="3" a="1"/>
  <c r="H167" i="3" s="1"/>
  <c r="H166" i="3" a="1"/>
  <c r="H166" i="3" s="1"/>
  <c r="H165" i="3" a="1"/>
  <c r="H165" i="3" s="1"/>
  <c r="H164" i="3" a="1"/>
  <c r="H164" i="3" s="1"/>
  <c r="H163" i="3" a="1"/>
  <c r="H163" i="3" s="1"/>
  <c r="H162" i="3" a="1"/>
  <c r="H162" i="3" s="1"/>
  <c r="H161" i="3" a="1"/>
  <c r="H161" i="3" s="1"/>
  <c r="H160" i="3" a="1"/>
  <c r="H160" i="3" s="1"/>
  <c r="H159" i="3" a="1"/>
  <c r="H159" i="3" s="1"/>
  <c r="H158" i="3" a="1"/>
  <c r="H158" i="3" s="1"/>
  <c r="H157" i="3" a="1"/>
  <c r="H157" i="3" s="1"/>
  <c r="H156" i="3" a="1"/>
  <c r="H156" i="3" s="1"/>
  <c r="H155" i="3" a="1"/>
  <c r="H155" i="3" s="1"/>
  <c r="H154" i="3" a="1"/>
  <c r="H154" i="3" s="1"/>
  <c r="H153" i="3" a="1"/>
  <c r="H153" i="3" s="1"/>
  <c r="H152" i="3" a="1"/>
  <c r="H152" i="3" s="1"/>
  <c r="H151" i="3" a="1"/>
  <c r="H151" i="3" s="1"/>
  <c r="H150" i="3" a="1"/>
  <c r="H150" i="3" s="1"/>
  <c r="H149" i="3" a="1"/>
  <c r="H149" i="3" s="1"/>
  <c r="H148" i="3" a="1"/>
  <c r="H148" i="3" s="1"/>
  <c r="H147" i="3" a="1"/>
  <c r="H147" i="3" s="1"/>
  <c r="H146" i="3" a="1"/>
  <c r="H146" i="3" s="1"/>
  <c r="H145" i="3" a="1"/>
  <c r="H145" i="3" s="1"/>
  <c r="H144" i="3" a="1"/>
  <c r="H144" i="3" s="1"/>
  <c r="H143" i="3" a="1"/>
  <c r="H143" i="3" s="1"/>
  <c r="H142" i="3" a="1"/>
  <c r="H142" i="3" s="1"/>
  <c r="H141" i="3" a="1"/>
  <c r="H141" i="3" s="1"/>
  <c r="H140" i="3" a="1"/>
  <c r="H140" i="3" s="1"/>
  <c r="H139" i="3" a="1"/>
  <c r="H139" i="3" s="1"/>
  <c r="H138" i="3" a="1"/>
  <c r="H138" i="3" s="1"/>
  <c r="H137" i="3" a="1"/>
  <c r="H137" i="3" s="1"/>
  <c r="H136" i="3" a="1"/>
  <c r="H136" i="3" s="1"/>
  <c r="H135" i="3" a="1"/>
  <c r="H135" i="3" s="1"/>
  <c r="H134" i="3" a="1"/>
  <c r="H134" i="3" s="1"/>
  <c r="H133" i="3" a="1"/>
  <c r="H133" i="3" s="1"/>
  <c r="H132" i="3" a="1"/>
  <c r="H132" i="3" s="1"/>
  <c r="H131" i="3" a="1"/>
  <c r="H131" i="3" s="1"/>
  <c r="H130" i="3" a="1"/>
  <c r="H130" i="3" s="1"/>
  <c r="H129" i="3" a="1"/>
  <c r="H129" i="3" s="1"/>
  <c r="H128" i="3" a="1"/>
  <c r="H128" i="3" s="1"/>
  <c r="H127" i="3" a="1"/>
  <c r="H127" i="3" s="1"/>
  <c r="H126" i="3" a="1"/>
  <c r="H126" i="3" s="1"/>
  <c r="H125" i="3" a="1"/>
  <c r="H125" i="3" s="1"/>
  <c r="H124" i="3" a="1"/>
  <c r="H124" i="3" s="1"/>
  <c r="H123" i="3" a="1"/>
  <c r="H123" i="3" s="1"/>
  <c r="H122" i="3" a="1"/>
  <c r="H122" i="3" s="1"/>
  <c r="H121" i="3" a="1"/>
  <c r="H121" i="3" s="1"/>
  <c r="H120" i="3" a="1"/>
  <c r="H120" i="3" s="1"/>
  <c r="H119" i="3" a="1"/>
  <c r="H119" i="3" s="1"/>
  <c r="H118" i="3" a="1"/>
  <c r="H118" i="3" s="1"/>
  <c r="H117" i="3" a="1"/>
  <c r="H117" i="3" s="1"/>
  <c r="H116" i="3" a="1"/>
  <c r="H116" i="3" s="1"/>
  <c r="H115" i="3" a="1"/>
  <c r="H115" i="3" s="1"/>
  <c r="H114" i="3" a="1"/>
  <c r="H114" i="3" s="1"/>
  <c r="H113" i="3" a="1"/>
  <c r="H113" i="3" s="1"/>
  <c r="H112" i="3" a="1"/>
  <c r="H112" i="3" s="1"/>
  <c r="H111" i="3" a="1"/>
  <c r="H111" i="3" s="1"/>
  <c r="H110" i="3" a="1"/>
  <c r="H110" i="3" s="1"/>
  <c r="H109" i="3" a="1"/>
  <c r="H109" i="3" s="1"/>
  <c r="H108" i="3" a="1"/>
  <c r="H108" i="3" s="1"/>
  <c r="H107" i="3" a="1"/>
  <c r="H107" i="3" s="1"/>
  <c r="H106" i="3" a="1"/>
  <c r="H106" i="3" s="1"/>
  <c r="H105" i="3" a="1"/>
  <c r="H105" i="3" s="1"/>
  <c r="H104" i="3" a="1"/>
  <c r="H104" i="3" s="1"/>
  <c r="H103" i="3" a="1"/>
  <c r="H103" i="3" s="1"/>
  <c r="H102" i="3" a="1"/>
  <c r="H102" i="3" s="1"/>
  <c r="H101" i="3" a="1"/>
  <c r="H101" i="3" s="1"/>
  <c r="H100" i="3" a="1"/>
  <c r="H100" i="3" s="1"/>
  <c r="H99" i="3" a="1"/>
  <c r="H99" i="3" s="1"/>
  <c r="H98" i="3" a="1"/>
  <c r="H98" i="3" s="1"/>
  <c r="H97" i="3" a="1"/>
  <c r="H97" i="3" s="1"/>
  <c r="H96" i="3" a="1"/>
  <c r="H96" i="3" s="1"/>
  <c r="H95" i="3" a="1"/>
  <c r="H95" i="3" s="1"/>
  <c r="H94" i="3" a="1"/>
  <c r="H94" i="3" s="1"/>
  <c r="H93" i="3" a="1"/>
  <c r="H93" i="3" s="1"/>
  <c r="H92" i="3" a="1"/>
  <c r="H92" i="3" s="1"/>
  <c r="H91" i="3" a="1"/>
  <c r="H91" i="3" s="1"/>
  <c r="H90" i="3" a="1"/>
  <c r="H90" i="3" s="1"/>
  <c r="H89" i="3" a="1"/>
  <c r="H89" i="3" s="1"/>
  <c r="H88" i="3" a="1"/>
  <c r="H88" i="3" s="1"/>
  <c r="H87" i="3" a="1"/>
  <c r="H87" i="3" s="1"/>
  <c r="H86" i="3" a="1"/>
  <c r="H86" i="3" s="1"/>
  <c r="H85" i="3" a="1"/>
  <c r="H85" i="3" s="1"/>
  <c r="H84" i="3" a="1"/>
  <c r="H84" i="3" s="1"/>
  <c r="H83" i="3" a="1"/>
  <c r="H83" i="3" s="1"/>
  <c r="H82" i="3" a="1"/>
  <c r="H82" i="3" s="1"/>
  <c r="H81" i="3" a="1"/>
  <c r="H81" i="3" s="1"/>
  <c r="H80" i="3" a="1"/>
  <c r="H80" i="3" s="1"/>
  <c r="H79" i="3" a="1"/>
  <c r="H79" i="3" s="1"/>
  <c r="H78" i="3" a="1"/>
  <c r="H78" i="3" s="1"/>
  <c r="H77" i="3" a="1"/>
  <c r="H77" i="3" s="1"/>
  <c r="H76" i="3" a="1"/>
  <c r="H76" i="3" s="1"/>
  <c r="H75" i="3" a="1"/>
  <c r="H75" i="3" s="1"/>
  <c r="H74" i="3" a="1"/>
  <c r="H74" i="3" s="1"/>
  <c r="H73" i="3" a="1"/>
  <c r="H73" i="3" s="1"/>
  <c r="H72" i="3" a="1"/>
  <c r="H72" i="3" s="1"/>
  <c r="H71" i="3" a="1"/>
  <c r="H71" i="3" s="1"/>
  <c r="H70" i="3" a="1"/>
  <c r="H70" i="3" s="1"/>
  <c r="H69" i="3" a="1"/>
  <c r="H69" i="3" s="1"/>
  <c r="H68" i="3" a="1"/>
  <c r="H68" i="3" s="1"/>
  <c r="H67" i="3" a="1"/>
  <c r="H67" i="3" s="1"/>
  <c r="H66" i="3" a="1"/>
  <c r="H66" i="3" s="1"/>
  <c r="H65" i="3" a="1"/>
  <c r="H65" i="3" s="1"/>
  <c r="H64" i="3" a="1"/>
  <c r="H64" i="3" s="1"/>
  <c r="H63" i="3" a="1"/>
  <c r="H63" i="3" s="1"/>
  <c r="H62" i="3" a="1"/>
  <c r="H62" i="3" s="1"/>
  <c r="H61" i="3" a="1"/>
  <c r="H61" i="3" s="1"/>
  <c r="H60" i="3" a="1"/>
  <c r="H60" i="3" s="1"/>
  <c r="H59" i="3" a="1"/>
  <c r="H59" i="3" s="1"/>
  <c r="H58" i="3" a="1"/>
  <c r="H58" i="3" s="1"/>
  <c r="H57" i="3" a="1"/>
  <c r="H57" i="3" s="1"/>
  <c r="H56" i="3" a="1"/>
  <c r="H56" i="3" s="1"/>
  <c r="H55" i="3" a="1"/>
  <c r="H55" i="3" s="1"/>
  <c r="H54" i="3" a="1"/>
  <c r="H54" i="3" s="1"/>
  <c r="H53" i="3" a="1"/>
  <c r="H53" i="3" s="1"/>
  <c r="H52" i="3" a="1"/>
  <c r="H52" i="3" s="1"/>
  <c r="H51" i="3" a="1"/>
  <c r="H51" i="3" s="1"/>
  <c r="H50" i="3" a="1"/>
  <c r="H50" i="3" s="1"/>
  <c r="H49" i="3" a="1"/>
  <c r="H49" i="3" s="1"/>
  <c r="H48" i="3" a="1"/>
  <c r="H48" i="3" s="1"/>
  <c r="H47" i="3" a="1"/>
  <c r="H47" i="3" s="1"/>
  <c r="H46" i="3" a="1"/>
  <c r="H46" i="3" s="1"/>
  <c r="H45" i="3" a="1"/>
  <c r="H45" i="3" s="1"/>
  <c r="H44" i="3" a="1"/>
  <c r="H44" i="3" s="1"/>
  <c r="H43" i="3" a="1"/>
  <c r="H43" i="3" s="1"/>
  <c r="H42" i="3" a="1"/>
  <c r="H42" i="3" s="1"/>
  <c r="H41" i="3" a="1"/>
  <c r="H41" i="3" s="1"/>
  <c r="H40" i="3" a="1"/>
  <c r="H40" i="3" s="1"/>
  <c r="H39" i="3" a="1"/>
  <c r="H39" i="3" s="1"/>
  <c r="H38" i="3" a="1"/>
  <c r="H38" i="3" s="1"/>
  <c r="H37" i="3" a="1"/>
  <c r="H37" i="3" s="1"/>
  <c r="H36" i="3" a="1"/>
  <c r="H36" i="3" s="1"/>
  <c r="H35" i="3" a="1"/>
  <c r="H35" i="3" s="1"/>
  <c r="H18" i="3" a="1"/>
  <c r="H18" i="3" s="1"/>
  <c r="H17" i="3" a="1"/>
  <c r="H17" i="3" s="1"/>
  <c r="H16" i="3"/>
  <c r="H16" i="3" a="1"/>
  <c r="H15" i="3" a="1"/>
  <c r="H15" i="3" s="1"/>
  <c r="H14" i="3"/>
  <c r="H14" i="3" a="1"/>
  <c r="H13" i="3" a="1"/>
  <c r="H13" i="3" s="1"/>
  <c r="H12" i="3" a="1"/>
  <c r="H12" i="3" s="1"/>
  <c r="H11" i="3" a="1"/>
  <c r="H11" i="3" s="1"/>
  <c r="H10" i="3"/>
  <c r="H10" i="3" a="1"/>
  <c r="H9" i="3" a="1"/>
  <c r="H9" i="3" s="1"/>
  <c r="H8" i="3"/>
  <c r="H8" i="3" a="1"/>
  <c r="H7" i="3" a="1"/>
  <c r="H7" i="3" s="1"/>
  <c r="H6" i="3"/>
  <c r="H6" i="3" a="1"/>
  <c r="H5" i="3" a="1"/>
  <c r="H5" i="3" s="1"/>
  <c r="H4" i="3" a="1"/>
  <c r="H4" i="3" s="1"/>
  <c r="H3" i="3" a="1"/>
  <c r="H3" i="3" s="1"/>
  <c r="H2" i="3" a="1"/>
  <c r="H2" i="3" s="1"/>
  <c r="B22" i="3"/>
  <c r="G22" i="3"/>
  <c r="J4" i="3"/>
  <c r="B26" i="3"/>
  <c r="G26" i="3"/>
  <c r="J8" i="3"/>
  <c r="J5" i="3"/>
  <c r="G23" i="3"/>
  <c r="B23" i="3"/>
  <c r="B31" i="3"/>
  <c r="G31" i="3"/>
  <c r="J13" i="3"/>
  <c r="J16" i="3"/>
  <c r="B21" i="3"/>
  <c r="B34" i="3"/>
  <c r="G21" i="3"/>
  <c r="J3" i="3"/>
  <c r="B27" i="3"/>
  <c r="G27" i="3"/>
  <c r="J9" i="3"/>
  <c r="B28" i="3"/>
  <c r="G28" i="3"/>
  <c r="J10" i="3"/>
  <c r="B25" i="3"/>
  <c r="G25" i="3"/>
  <c r="J7" i="3"/>
  <c r="J6" i="3"/>
  <c r="G24" i="3"/>
  <c r="B24" i="3"/>
  <c r="E27" i="3"/>
  <c r="L9" i="3"/>
  <c r="M9" i="3"/>
  <c r="C27" i="3"/>
  <c r="N9" i="3"/>
  <c r="P9" i="3"/>
  <c r="K9" i="3"/>
  <c r="O9" i="3"/>
  <c r="D27" i="3"/>
  <c r="H27" i="3"/>
  <c r="F27" i="3"/>
  <c r="J11" i="3"/>
  <c r="G29" i="3"/>
  <c r="B29" i="3"/>
  <c r="N13" i="3"/>
  <c r="D31" i="3"/>
  <c r="M13" i="3"/>
  <c r="O13" i="3"/>
  <c r="L13" i="3"/>
  <c r="K13" i="3"/>
  <c r="P13" i="3"/>
  <c r="C31" i="3"/>
  <c r="F31" i="3"/>
  <c r="H31" i="3"/>
  <c r="E31" i="3"/>
  <c r="C22" i="3"/>
  <c r="K4" i="3"/>
  <c r="P4" i="3"/>
  <c r="O4" i="3"/>
  <c r="E22" i="3"/>
  <c r="F22" i="3"/>
  <c r="D22" i="3"/>
  <c r="L4" i="3"/>
  <c r="M4" i="3"/>
  <c r="H22" i="3"/>
  <c r="N4" i="3"/>
  <c r="D21" i="3"/>
  <c r="E21" i="3"/>
  <c r="O3" i="3"/>
  <c r="C21" i="3"/>
  <c r="L3" i="3"/>
  <c r="N3" i="3"/>
  <c r="P3" i="3"/>
  <c r="F21" i="3"/>
  <c r="M3" i="3"/>
  <c r="H21" i="3"/>
  <c r="K3" i="3"/>
  <c r="O14" i="3"/>
  <c r="P14" i="3"/>
  <c r="N14" i="3"/>
  <c r="L14" i="3"/>
  <c r="E32" i="3"/>
  <c r="K14" i="3"/>
  <c r="D32" i="3"/>
  <c r="C32" i="3"/>
  <c r="F32" i="3"/>
  <c r="M14" i="3"/>
  <c r="M5" i="3"/>
  <c r="E23" i="3"/>
  <c r="N5" i="3"/>
  <c r="F23" i="3"/>
  <c r="C23" i="3"/>
  <c r="O5" i="3"/>
  <c r="L5" i="3"/>
  <c r="P5" i="3"/>
  <c r="D23" i="3"/>
  <c r="H23" i="3"/>
  <c r="K5" i="3"/>
  <c r="D29" i="3"/>
  <c r="P11" i="3"/>
  <c r="O11" i="3"/>
  <c r="N11" i="3"/>
  <c r="M11" i="3"/>
  <c r="C29" i="3"/>
  <c r="E29" i="3"/>
  <c r="F29" i="3"/>
  <c r="L11" i="3"/>
  <c r="H29" i="3"/>
  <c r="K11" i="3"/>
  <c r="O12" i="3"/>
  <c r="C30" i="3"/>
  <c r="D30" i="3"/>
  <c r="N12" i="3"/>
  <c r="E30" i="3"/>
  <c r="P12" i="3"/>
  <c r="M12" i="3"/>
  <c r="F30" i="3"/>
  <c r="K12" i="3"/>
  <c r="L12" i="3"/>
  <c r="C24" i="3"/>
  <c r="P6" i="3"/>
  <c r="N6" i="3"/>
  <c r="E24" i="3"/>
  <c r="M6" i="3"/>
  <c r="O6" i="3"/>
  <c r="F24" i="3"/>
  <c r="L6" i="3"/>
  <c r="K6" i="3"/>
  <c r="H24" i="3"/>
  <c r="D24" i="3"/>
  <c r="L15" i="3"/>
  <c r="P15" i="3"/>
  <c r="D33" i="3"/>
  <c r="K15" i="3"/>
  <c r="N15" i="3"/>
  <c r="O15" i="3"/>
  <c r="C33" i="3"/>
  <c r="F33" i="3"/>
  <c r="E33" i="3"/>
  <c r="M15" i="3"/>
  <c r="D25" i="3"/>
  <c r="O7" i="3"/>
  <c r="L7" i="3"/>
  <c r="N7" i="3"/>
  <c r="F25" i="3"/>
  <c r="C25" i="3"/>
  <c r="P7" i="3"/>
  <c r="M7" i="3"/>
  <c r="E25" i="3"/>
  <c r="H25" i="3"/>
  <c r="K7" i="3"/>
  <c r="F26" i="3"/>
  <c r="L8" i="3"/>
  <c r="M8" i="3"/>
  <c r="D26" i="3"/>
  <c r="O8" i="3"/>
  <c r="P8" i="3"/>
  <c r="C26" i="3"/>
  <c r="E26" i="3"/>
  <c r="K8" i="3"/>
  <c r="H26" i="3"/>
  <c r="N8" i="3"/>
  <c r="J14" i="3"/>
  <c r="H32" i="3"/>
  <c r="G32" i="3"/>
  <c r="B32" i="3"/>
  <c r="B33" i="3"/>
  <c r="H33" i="3"/>
  <c r="G33" i="3"/>
  <c r="J15" i="3"/>
  <c r="C28" i="3"/>
  <c r="K10" i="3"/>
  <c r="D28" i="3"/>
  <c r="E28" i="3"/>
  <c r="F28" i="3"/>
  <c r="O10" i="3"/>
  <c r="N10" i="3"/>
  <c r="M10" i="3"/>
  <c r="P10" i="3"/>
  <c r="H28" i="3"/>
  <c r="L10" i="3"/>
  <c r="J12" i="3"/>
  <c r="H30" i="3"/>
  <c r="G30" i="3"/>
  <c r="B30"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<sst xmlns="http://schemas.openxmlformats.org/spreadsheetml/2006/main" count="477" uniqueCount="285">
  <si>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</si>
  <si>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</si>
  <si>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</si>
  <si>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</si>
  <si>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</si>
  <si>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</si>
  <si>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</si>
  <si>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</si>
  <si>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</si>
  <si>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</si>
  <si>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</si>
  <si>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</si>
  <si>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</si>
  <si>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</si>
  <si>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</si>
  <si>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</si>
  <si>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</si>
  <si>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</si>
  <si>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</si>
  <si>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</si>
  <si>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</si>
  <si>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</si>
  <si>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</si>
  <si>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</si>
  <si>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</si>
  <si>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</si>
  <si>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</si>
  <si>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</si>
  <si>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</si>
  <si>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</si>
  <si>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</si>
  <si>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</si>
  <si>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</si>
  <si>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</si>
  <si>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</si>
  <si>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</si>
  <si>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</si>
  <si>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</si>
  <si>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</si>
  <si>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</si>
  <si>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</si>
  <si>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</si>
  <si>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</si>
  <si>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</si>
  <si>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</si>
  <si>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</si>
  <si>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</si>
  <si>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</si>
  <si>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</si>
  <si>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</si>
  <si>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</si>
  <si>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</si>
  <si>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</si>
  <si>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</si>
  <si>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</si>
  <si>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</si>
  <si>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</si>
  <si>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</si>
  <si>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</si>
  <si>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</si>
  <si>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</si>
  <si>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</si>
  <si>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</si>
  <si>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</si>
  <si>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</si>
  <si>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</si>
  <si>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</si>
  <si>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</si>
  <si>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</si>
  <si>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</si>
  <si>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</si>
  <si>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</si>
  <si>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</si>
  <si>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</si>
  <si>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</si>
  <si>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</si>
  <si>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</si>
  <si>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</si>
  <si>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</si>
  <si>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</si>
  <si>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</si>
  <si>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</si>
  <si>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</si>
  <si>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</si>
  <si>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</si>
  <si>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</si>
  <si>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</si>
  <si>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</si>
  <si>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</si>
  <si>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</si>
  <si>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</si>
  <si>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</si>
  <si>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</si>
  <si>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</si>
  <si>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</si>
  <si>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</si>
  <si>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</si>
  <si>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</si>
  <si>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</si>
  <si>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</si>
  <si>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</si>
  <si>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</si>
  <si>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</si>
  <si>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</si>
  <si>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</si>
  <si>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</si>
  <si>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</si>
  <si>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</si>
  <si>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</si>
  <si>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</si>
  <si>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</si>
  <si>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</si>
  <si>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</si>
  <si>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</si>
  <si>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</si>
  <si>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</si>
  <si>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</si>
  <si>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</si>
  <si>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</si>
  <si>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</si>
  <si>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</si>
  <si>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</si>
  <si>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</si>
  <si>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</si>
  <si>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</si>
  <si>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</si>
  <si>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</si>
  <si>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</si>
  <si>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</si>
  <si>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</si>
  <si>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</si>
  <si>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</si>
  <si>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</si>
  <si>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</si>
  <si>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</si>
  <si>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</si>
  <si>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</si>
  <si>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</si>
  <si>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</si>
  <si>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</si>
  <si>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</si>
  <si>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</si>
  <si>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</si>
  <si>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</si>
  <si>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</si>
  <si>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</si>
  <si>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</si>
  <si>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</si>
  <si>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</si>
  <si>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</si>
  <si>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</si>
  <si>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</si>
  <si>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</si>
  <si>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</si>
  <si>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</si>
  <si>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</si>
  <si>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</si>
  <si>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</si>
  <si>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</si>
  <si>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</si>
  <si>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</si>
  <si>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</si>
  <si>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</si>
  <si>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</si>
  <si>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</si>
  <si>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</si>
  <si>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</si>
  <si>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</si>
  <si>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</si>
  <si>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</si>
  <si>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</si>
  <si>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</si>
  <si>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</si>
  <si>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</si>
  <si>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</si>
  <si>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</si>
  <si>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</si>
  <si>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</si>
  <si>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</si>
  <si>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</si>
  <si>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</si>
  <si>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</si>
  <si>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</si>
  <si>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</si>
  <si>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</si>
  <si>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</si>
  <si>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</si>
  <si>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</si>
  <si>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</si>
  <si>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</si>
  <si>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</si>
  <si>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</si>
  <si>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</si>
  <si>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</si>
  <si>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</si>
  <si>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</si>
  <si>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</si>
  <si>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</si>
  <si>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</si>
  <si>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</si>
  <si>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</si>
  <si>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</si>
  <si>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</si>
  <si>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 xml:space="preserve">Biomedical Engineering </t>
  </si>
  <si>
    <t>Jill Hiner</t>
  </si>
  <si>
    <t xml:space="preserve">Ann Marie Polichena, Director, Supply Chain </t>
  </si>
  <si>
    <t>BioMed Team</t>
  </si>
  <si>
    <t>Clinical staff do not consistently complete red tag service requests, notify Biomedical Engineering, or communicate repair status needs when patient equipment is removed from service. Inconsistent red tag documentation and delayed notification can result in longer repair response times, unavailable equipment, equipment remaining in clinical areas without clear status, and increased risk that staff may unknowingly attempt to use equipment that requires repair</t>
  </si>
  <si>
    <t>High risk</t>
  </si>
  <si>
    <t>Red Tag completion rate</t>
  </si>
  <si>
    <t>Weekly</t>
  </si>
  <si>
    <t>Q1 2027</t>
  </si>
  <si>
    <t>BioMed Team &amp; Clinical Leaders</t>
  </si>
  <si>
    <t>Improve Clinical Staff Red Tag Service Requests and Patient Equipment Repair Response-Time</t>
  </si>
  <si>
    <t>Problem Description</t>
  </si>
  <si>
    <t>Asset Description</t>
  </si>
  <si>
    <t>Asset Number</t>
  </si>
  <si>
    <t>Date Malfunctioned</t>
  </si>
  <si>
    <t>Date Notified</t>
  </si>
  <si>
    <t>Red Tag</t>
  </si>
  <si>
    <t>Days To Notify</t>
  </si>
  <si>
    <t>Red Tag Percentage</t>
  </si>
  <si>
    <t>Notification Delay</t>
  </si>
  <si>
    <t>2 WEST</t>
  </si>
  <si>
    <t>Checkout / Repair</t>
  </si>
  <si>
    <t>35700</t>
  </si>
  <si>
    <t>IV0040</t>
  </si>
  <si>
    <t/>
  </si>
  <si>
    <t>NO</t>
  </si>
  <si>
    <t>By Department</t>
  </si>
  <si>
    <t>Same Day</t>
  </si>
  <si>
    <t>Next Day</t>
  </si>
  <si>
    <t>2 Days</t>
  </si>
  <si>
    <t>≥ 3 Days</t>
  </si>
  <si>
    <t>Date Malf. Unknown</t>
  </si>
  <si>
    <t>Failed to Notify</t>
  </si>
  <si>
    <t>IV0057</t>
  </si>
  <si>
    <t>YES</t>
  </si>
  <si>
    <t>IV0109</t>
  </si>
  <si>
    <t>3 WEST</t>
  </si>
  <si>
    <t>IV0091</t>
  </si>
  <si>
    <t>CARDIOLOGY</t>
  </si>
  <si>
    <t>IV0128</t>
  </si>
  <si>
    <t>EMERGENCY</t>
  </si>
  <si>
    <t>0998-00-2000-943A</t>
  </si>
  <si>
    <t>2W0308</t>
  </si>
  <si>
    <t>ENDOSCOPY</t>
  </si>
  <si>
    <t>IV0067</t>
  </si>
  <si>
    <t>Yes</t>
  </si>
  <si>
    <t>ICU</t>
  </si>
  <si>
    <t>IV0144</t>
  </si>
  <si>
    <t>LAB</t>
  </si>
  <si>
    <t>IV0011</t>
  </si>
  <si>
    <t>PACU</t>
  </si>
  <si>
    <t>IV0126</t>
  </si>
  <si>
    <t>PAIN MEDICINE</t>
  </si>
  <si>
    <t>IV0038</t>
  </si>
  <si>
    <t>PHYSICAL THERAPY</t>
  </si>
  <si>
    <t>690</t>
  </si>
  <si>
    <t>CC0322</t>
  </si>
  <si>
    <t>RADIOLOGY</t>
  </si>
  <si>
    <t>IV0107</t>
  </si>
  <si>
    <t>RESPIRATORY</t>
  </si>
  <si>
    <t>IV0024</t>
  </si>
  <si>
    <t>SURGERY</t>
  </si>
  <si>
    <t>ISU</t>
  </si>
  <si>
    <t>OB0194</t>
  </si>
  <si>
    <t>Total Red Tag Percentage</t>
  </si>
  <si>
    <t>6100F-PA00225</t>
  </si>
  <si>
    <t>RR0170</t>
  </si>
  <si>
    <t>Identified through staff reports and observations of inconsistent reporting and removal of malfunctioning equipment. A tracking tool was developed to establish baseline performance and monitor improvement.</t>
  </si>
  <si>
    <t>75% compliance by Q4 2027</t>
  </si>
  <si>
    <t>TMS BioMed Asset Management System</t>
  </si>
  <si>
    <t xml:space="preserve">Ann Marie Polichena </t>
  </si>
  <si>
    <t>The red tag process was not consistently integrated into clinical workflows due to varying procedures, limited point-of-use resources, and inadequate tracking and accountability.</t>
  </si>
  <si>
    <t>By December 31, 2027, achieve and maintain at least 75% compliance with red tag documentation requirements for equipment removed from service.</t>
  </si>
  <si>
    <t>Simplify the red tag process by redesigning the tag form, developing a staff quick-reference guide, and providing education to clinical leadership and staff on documentation requirements, Biomed notification, and escalation procedures for equipment repairs.</t>
  </si>
  <si>
    <t>Inconsistent red tag compliance due to unclear processes, documentation requirements, and staff education.</t>
  </si>
  <si>
    <t>Develop and implement a standardized equipment repair-status communication process to provide clinical departments with timely updates on repair progress, estimated return-to-service dates, schedule changes, and confirmation when equipment is returned to service and available for patient care.</t>
  </si>
  <si>
    <t>Inconsistent communication regarding equipment repair status and availability.</t>
  </si>
  <si>
    <t>Ensure red tags and service request instructions are readily available in designated clinical and equipment storage areas.</t>
  </si>
  <si>
    <t>Insufficient access to required repair reporting materials.</t>
  </si>
  <si>
    <t>Conduct monthly audits of red-tagged equipment and service requests to monitor compliance, timeliness, and communication documentation, and share results with department leadership for performance improvement.</t>
  </si>
  <si>
    <t>Lack of monitoring and feedback on red tag process compliance.</t>
  </si>
  <si>
    <t>Monthly Beginning Q1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</si>
</sst>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d/yy\ h:mm\ AM/PM;@"/>
    <numFmt numFmtId="165" formatCode=";;;"/>
  </numFmts>
  <fonts count="22"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1"/>
      <color theme="1"/>
      <name val="Aptos"/>
      <family val="2"/>
    </font>
    <font>
      <sz val="11"/>
      <color rgb="FF000000"/>
      <name val="Aptos Narrow"/>
      <family val="2"/>
    </font>
    <font>
      <sz val="11"/>
      <name val="Calibri"/>
      <family val="2"/>
    </font>
    <font>
      <sz val="8"/>
      <color theme="1"/>
      <name val="Aptos Narrow"/>
      <family val="2"/>
      <scheme val="minor"/>
    </font>
    <font>
      <sz val="8"/>
      <name val="Calibri"/>
      <family val="2"/>
    </font>
  </fonts>
  <fills count="12">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0000"/>
        <bgColor indexed="64"/>
      </patternFill>
    </fill>
  </fills>
  <borders count="101">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2" fillId="0" borderId="0" applyNumberFormat="0" applyFill="0" applyBorder="0" applyAlignment="0" applyProtection="0"/>
    <xf numFmtId="164" fontId="19" fillId="0" borderId="0"/>
  </cellStyleXfs>
  <cellXfs count="25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4" xfId="0" applyBorder="1" applyAlignment="1">
      <alignment wrapText="1"/>
    </xf>
    <xf numFmtId="0" fontId="17" fillId="0" borderId="0" xfId="0" applyFont="1" applyAlignment="1">
      <alignment wrapText="1"/>
    </xf>
    <xf numFmtId="0" fontId="0" fillId="0" borderId="8" xfId="0" applyBorder="1" applyAlignment="1">
      <alignment wrapText="1"/>
    </xf>
    <xf numFmtId="0" fontId="0" fillId="0" borderId="0" xfId="0" applyAlignment="1">
      <alignment wrapText="1"/>
    </xf>
    <xf numFmtId="0" fontId="0" fillId="0" borderId="12" xfId="0" applyBorder="1"/>
    <xf numFmtId="0" fontId="0" fillId="0" borderId="4" xfId="0" applyBorder="1" applyAlignment="1">
      <alignment horizontal="left" wrapText="1"/>
    </xf>
    <xf numFmtId="0" fontId="0" fillId="0" borderId="6" xfId="0" applyBorder="1" applyAlignment="1">
      <alignment horizontal="left"/>
    </xf>
    <xf numFmtId="0" fontId="0" fillId="0" borderId="12" xfId="0" applyBorder="1" applyAlignment="1">
      <alignment horizontal="left"/>
    </xf>
    <xf numFmtId="0" fontId="0" fillId="0" borderId="14" xfId="0" applyBorder="1" applyAlignment="1">
      <alignment vertical="center" wrapText="1"/>
    </xf>
    <xf numFmtId="0" fontId="0" fillId="0" borderId="6" xfId="0" applyBorder="1" applyAlignment="1">
      <alignment horizontal="left" wrapText="1"/>
    </xf>
    <xf numFmtId="0" fontId="0" fillId="0" borderId="12" xfId="0" applyBorder="1" applyAlignment="1">
      <alignment horizontal="left" wrapText="1"/>
    </xf>
    <xf numFmtId="0" fontId="18" fillId="0" borderId="0" xfId="0" applyFont="1" applyAlignment="1">
      <alignment vertical="center" wrapText="1"/>
    </xf>
    <xf numFmtId="165" fontId="19" fillId="0" borderId="0" xfId="0" applyNumberFormat="1" applyFont="1"/>
    <xf numFmtId="165" fontId="0" fillId="0" borderId="0" xfId="0" applyNumberFormat="1"/>
    <xf numFmtId="0" fontId="0" fillId="0" borderId="89" xfId="0" applyBorder="1" applyAlignment="1">
      <alignment horizontal="center"/>
    </xf>
    <xf numFmtId="0" fontId="0" fillId="0" borderId="91" xfId="0" applyBorder="1" applyAlignment="1">
      <alignment horizontal="center"/>
    </xf>
    <xf numFmtId="0" fontId="0" fillId="0" borderId="90" xfId="0" applyBorder="1" applyAlignment="1">
      <alignment horizontal="center"/>
    </xf>
    <xf numFmtId="0" fontId="0" fillId="0" borderId="92" xfId="0" applyBorder="1"/>
    <xf numFmtId="10" fontId="0" fillId="0" borderId="93" xfId="0" applyNumberFormat="1" applyBorder="1" applyAlignment="1">
      <alignment horizontal="center"/>
    </xf>
    <xf numFmtId="0" fontId="0" fillId="0" borderId="92" xfId="0" applyBorder="1" applyAlignment="1">
      <alignment horizontal="center"/>
    </xf>
    <xf numFmtId="0" fontId="0" fillId="0" borderId="94" xfId="0" applyBorder="1" applyAlignment="1">
      <alignment horizontal="center"/>
    </xf>
    <xf numFmtId="0" fontId="0" fillId="0" borderId="93" xfId="0" applyBorder="1" applyAlignment="1">
      <alignment horizontal="center"/>
    </xf>
    <xf numFmtId="0" fontId="0" fillId="0" borderId="89" xfId="0" applyBorder="1"/>
    <xf numFmtId="0" fontId="0" fillId="0" borderId="95" xfId="0" applyBorder="1"/>
    <xf numFmtId="10" fontId="0" fillId="0" borderId="96" xfId="0" applyNumberFormat="1" applyBorder="1" applyAlignment="1">
      <alignment horizontal="center"/>
    </xf>
    <xf numFmtId="0" fontId="0" fillId="0" borderId="95" xfId="0" applyBorder="1" applyAlignment="1">
      <alignment horizontal="center"/>
    </xf>
    <xf numFmtId="0" fontId="0" fillId="0" borderId="97" xfId="0" applyBorder="1" applyAlignment="1">
      <alignment horizontal="center"/>
    </xf>
    <xf numFmtId="0" fontId="0" fillId="0" borderId="98" xfId="0" applyBorder="1" applyAlignment="1">
      <alignment horizontal="center"/>
    </xf>
    <xf numFmtId="0" fontId="8" fillId="0" borderId="99" xfId="0" applyFont="1" applyBorder="1"/>
    <xf numFmtId="10" fontId="0" fillId="0" borderId="100" xfId="0" applyNumberFormat="1" applyBorder="1"/>
    <xf numFmtId="0" fontId="0" fillId="6" borderId="91" xfId="0" applyFill="1" applyBorder="1" applyAlignment="1">
      <alignment horizontal="center"/>
    </xf>
    <xf numFmtId="0" fontId="0" fillId="7" borderId="89" xfId="0" applyFill="1" applyBorder="1" applyAlignment="1">
      <alignment horizontal="center"/>
    </xf>
    <xf numFmtId="0" fontId="0" fillId="8" borderId="91" xfId="0" applyFill="1" applyBorder="1" applyAlignment="1">
      <alignment horizontal="center"/>
    </xf>
    <xf numFmtId="0" fontId="0" fillId="9" borderId="91" xfId="0" applyFill="1" applyBorder="1" applyAlignment="1">
      <alignment horizontal="center"/>
    </xf>
    <xf numFmtId="0" fontId="0" fillId="10" borderId="91" xfId="0" applyFill="1" applyBorder="1" applyAlignment="1">
      <alignment horizontal="center"/>
    </xf>
    <xf numFmtId="0" fontId="0" fillId="11" borderId="90" xfId="0" applyFill="1" applyBorder="1" applyAlignment="1">
      <alignment horizontal="center"/>
    </xf>
    <xf numFmtId="0" fontId="20" fillId="0" borderId="91" xfId="0" applyFont="1" applyBorder="1"/>
    <xf numFmtId="164" fontId="21" fillId="0" borderId="91" xfId="2" applyFont="1" applyBorder="1"/>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19" fillId="0" borderId="89" xfId="0" applyFont="1" applyBorder="1" applyAlignment="1">
      <alignment horizontal="center"/>
    </xf>
    <xf numFmtId="0" fontId="19" fillId="0" borderId="90" xfId="0" applyFont="1" applyBorder="1" applyAlignment="1">
      <alignment horizontal="center"/>
    </xf>
    <xf numFmtId="0" fontId="8" fillId="5" borderId="86" xfId="0" applyFont="1" applyFill="1" applyBorder="1" applyAlignment="1">
      <alignment horizontal="center"/>
    </xf>
    <xf numFmtId="0" fontId="0" fillId="5" borderId="87" xfId="0" applyFill="1" applyBorder="1" applyAlignment="1">
      <alignment horizontal="center"/>
    </xf>
    <xf numFmtId="0" fontId="0" fillId="5" borderId="88" xfId="0" applyFill="1"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0" xfId="0" applyFont="1" applyAlignment="1">
      <alignment vertical="center"/>
    </xf>
    <xf numFmtId="0" fontId="0" fillId="0" borderId="0" xfId="0" applyFont="1" applyAlignment="1">
      <alignment vertical="center" wrapText="1"/>
    </xf>
  </cellXfs>
  <cellStyles count="3">
    <cellStyle name="dateFormat" xfId="2" xr:uid="{6B106AE9-4A1C-4C47-BBCC-B6F1FE0D0FCF}"/>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1"/>
  <sheetViews>
    <sheetView showGridLines="0" tabSelected="1" zoomScaleNormal="100" workbookViewId="0">
      <selection activeCell="D67" sqref="D67"/>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99"/>
      <c r="C2" s="109"/>
      <c r="D2" s="109"/>
      <c r="E2" s="100"/>
    </row>
    <row r="3" spans="2:5" ht="78.75" customHeight="1" x14ac:dyDescent="0.3">
      <c r="B3" s="102"/>
      <c r="C3" s="19"/>
      <c r="D3" s="21" t="s">
        <v>35</v>
      </c>
      <c r="E3" s="103"/>
    </row>
    <row r="4" spans="2:5" ht="66.75" customHeight="1" thickBot="1" x14ac:dyDescent="0.35">
      <c r="B4" s="102"/>
      <c r="C4" s="19"/>
      <c r="D4" s="19"/>
      <c r="E4" s="103"/>
    </row>
    <row r="5" spans="2:5" ht="27" thickTop="1" thickBot="1" x14ac:dyDescent="0.35">
      <c r="B5" s="102"/>
      <c r="C5" s="162" t="s">
        <v>1</v>
      </c>
      <c r="D5" s="163"/>
      <c r="E5" s="103"/>
    </row>
    <row r="6" spans="2:5" ht="18.600000000000001" thickTop="1" x14ac:dyDescent="0.3">
      <c r="B6" s="102"/>
      <c r="C6" s="112" t="s">
        <v>198</v>
      </c>
      <c r="D6" s="120" t="s">
        <v>203</v>
      </c>
      <c r="E6" s="103"/>
    </row>
    <row r="7" spans="2:5" ht="18" x14ac:dyDescent="0.3">
      <c r="B7" s="102"/>
      <c r="C7" s="112" t="s">
        <v>3</v>
      </c>
      <c r="D7" s="120" t="s">
        <v>36</v>
      </c>
      <c r="E7" s="103"/>
    </row>
    <row r="8" spans="2:5" ht="28.8" x14ac:dyDescent="0.3">
      <c r="B8" s="102"/>
      <c r="C8" s="113" t="s">
        <v>4</v>
      </c>
      <c r="D8" s="121" t="s">
        <v>213</v>
      </c>
      <c r="E8" s="103"/>
    </row>
    <row r="9" spans="2:5" ht="18" x14ac:dyDescent="0.3">
      <c r="B9" s="102"/>
      <c r="C9" s="113" t="s">
        <v>119</v>
      </c>
      <c r="D9" s="16" t="s">
        <v>204</v>
      </c>
      <c r="E9" s="103"/>
    </row>
    <row r="10" spans="2:5" ht="18" x14ac:dyDescent="0.3">
      <c r="B10" s="102"/>
      <c r="C10" s="113" t="s">
        <v>5</v>
      </c>
      <c r="D10" s="16" t="s">
        <v>205</v>
      </c>
      <c r="E10" s="103"/>
    </row>
    <row r="11" spans="2:5" ht="18" x14ac:dyDescent="0.3">
      <c r="B11" s="102"/>
      <c r="C11" s="113" t="s">
        <v>6</v>
      </c>
      <c r="D11" s="16" t="s">
        <v>206</v>
      </c>
      <c r="E11" s="103"/>
    </row>
    <row r="12" spans="2:5" ht="18" x14ac:dyDescent="0.3">
      <c r="B12" s="102"/>
      <c r="C12" s="114" t="s">
        <v>7</v>
      </c>
      <c r="D12" s="122" t="s">
        <v>9</v>
      </c>
      <c r="E12" s="103"/>
    </row>
    <row r="13" spans="2:5" s="1" customFormat="1" ht="26.4" thickBot="1" x14ac:dyDescent="0.35">
      <c r="B13" s="110"/>
      <c r="C13" s="11" t="s">
        <v>8</v>
      </c>
      <c r="D13" s="18" t="s">
        <v>45</v>
      </c>
      <c r="E13" s="106"/>
    </row>
    <row r="14" spans="2:5" s="1" customFormat="1" ht="41.25" customHeight="1" thickTop="1" thickBot="1" x14ac:dyDescent="0.35">
      <c r="B14" s="110"/>
      <c r="C14" s="19"/>
      <c r="D14" s="19"/>
      <c r="E14" s="107"/>
    </row>
    <row r="15" spans="2:5" ht="27" thickTop="1" thickBot="1" x14ac:dyDescent="0.35">
      <c r="B15" s="102"/>
      <c r="C15" s="158" t="s">
        <v>10</v>
      </c>
      <c r="D15" s="159"/>
      <c r="E15" s="103"/>
    </row>
    <row r="16" spans="2:5" ht="72.599999999999994" thickTop="1" x14ac:dyDescent="0.3">
      <c r="B16" s="102"/>
      <c r="C16" s="9" t="s">
        <v>0</v>
      </c>
      <c r="D16" s="123" t="s">
        <v>207</v>
      </c>
      <c r="E16" s="103"/>
    </row>
    <row r="17" spans="2:5" ht="18.600000000000001" thickBot="1" x14ac:dyDescent="0.35">
      <c r="B17" s="102"/>
      <c r="C17" s="11" t="s">
        <v>11</v>
      </c>
      <c r="D17" s="124" t="s">
        <v>208</v>
      </c>
      <c r="E17" s="103"/>
    </row>
    <row r="18" spans="2:5" ht="15.6" thickTop="1" thickBot="1" x14ac:dyDescent="0.35">
      <c r="B18" s="102"/>
      <c r="C18" s="19"/>
      <c r="D18" s="19"/>
      <c r="E18" s="103"/>
    </row>
    <row r="19" spans="2:5" ht="27" thickTop="1" thickBot="1" x14ac:dyDescent="0.55000000000000004">
      <c r="B19" s="102"/>
      <c r="C19" s="164" t="s">
        <v>17</v>
      </c>
      <c r="D19" s="165"/>
      <c r="E19" s="103"/>
    </row>
    <row r="20" spans="2:5" ht="18.600000000000001" thickTop="1" x14ac:dyDescent="0.35">
      <c r="B20" s="102"/>
      <c r="C20" s="115" t="s">
        <v>18</v>
      </c>
      <c r="D20" s="125" t="s">
        <v>209</v>
      </c>
      <c r="E20" s="103"/>
    </row>
    <row r="21" spans="2:5" ht="43.8" x14ac:dyDescent="0.35">
      <c r="B21" s="102"/>
      <c r="C21" s="116" t="s">
        <v>19</v>
      </c>
      <c r="D21" s="123" t="s">
        <v>270</v>
      </c>
      <c r="E21" s="103"/>
    </row>
    <row r="22" spans="2:5" ht="18" x14ac:dyDescent="0.35">
      <c r="B22" s="102"/>
      <c r="C22" s="116" t="s">
        <v>171</v>
      </c>
      <c r="D22" s="126" t="s">
        <v>271</v>
      </c>
      <c r="E22" s="103"/>
    </row>
    <row r="23" spans="2:5" ht="18" x14ac:dyDescent="0.35">
      <c r="B23" s="102"/>
      <c r="C23" s="116" t="s">
        <v>21</v>
      </c>
      <c r="D23" s="126" t="s">
        <v>272</v>
      </c>
      <c r="E23" s="103"/>
    </row>
    <row r="24" spans="2:5" ht="18" x14ac:dyDescent="0.35">
      <c r="B24" s="102"/>
      <c r="C24" s="116" t="s">
        <v>22</v>
      </c>
      <c r="D24" s="126" t="s">
        <v>210</v>
      </c>
      <c r="E24" s="103"/>
    </row>
    <row r="25" spans="2:5" ht="18.600000000000001" thickBot="1" x14ac:dyDescent="0.4">
      <c r="B25" s="102"/>
      <c r="C25" s="117" t="s">
        <v>23</v>
      </c>
      <c r="D25" s="127" t="s">
        <v>273</v>
      </c>
      <c r="E25" s="103"/>
    </row>
    <row r="26" spans="2:5" ht="19.2" thickTop="1" thickBot="1" x14ac:dyDescent="0.4">
      <c r="B26" s="102"/>
      <c r="C26" s="20"/>
      <c r="D26" s="19"/>
      <c r="E26" s="103"/>
    </row>
    <row r="27" spans="2:5" ht="27" thickTop="1" thickBot="1" x14ac:dyDescent="0.35">
      <c r="B27" s="102"/>
      <c r="C27" s="158" t="s">
        <v>25</v>
      </c>
      <c r="D27" s="159"/>
      <c r="E27" s="103"/>
    </row>
    <row r="28" spans="2:5" ht="30" thickTop="1" thickBot="1" x14ac:dyDescent="0.35">
      <c r="B28" s="102"/>
      <c r="C28" s="12" t="s">
        <v>26</v>
      </c>
      <c r="D28" s="128" t="s">
        <v>274</v>
      </c>
      <c r="E28" s="103"/>
    </row>
    <row r="29" spans="2:5" ht="15.6" thickTop="1" thickBot="1" x14ac:dyDescent="0.35">
      <c r="B29" s="102"/>
      <c r="C29" s="19"/>
      <c r="D29" s="19"/>
      <c r="E29" s="103"/>
    </row>
    <row r="30" spans="2:5" ht="27" thickTop="1" thickBot="1" x14ac:dyDescent="0.35">
      <c r="B30" s="102"/>
      <c r="C30" s="158" t="s">
        <v>24</v>
      </c>
      <c r="D30" s="159"/>
      <c r="E30" s="103"/>
    </row>
    <row r="31" spans="2:5" ht="30" thickTop="1" thickBot="1" x14ac:dyDescent="0.35">
      <c r="B31" s="102"/>
      <c r="C31" s="12" t="s">
        <v>200</v>
      </c>
      <c r="D31" s="251" t="s">
        <v>275</v>
      </c>
      <c r="E31" s="103"/>
    </row>
    <row r="32" spans="2:5" ht="15.6" thickTop="1" thickBot="1" x14ac:dyDescent="0.35">
      <c r="B32" s="102"/>
      <c r="C32" s="19"/>
      <c r="D32" s="19"/>
      <c r="E32" s="103"/>
    </row>
    <row r="33" spans="2:5" ht="27" thickTop="1" thickBot="1" x14ac:dyDescent="0.55000000000000004">
      <c r="B33" s="102"/>
      <c r="C33" s="160" t="s">
        <v>27</v>
      </c>
      <c r="D33" s="161"/>
      <c r="E33" s="103"/>
    </row>
    <row r="34" spans="2:5" ht="43.8" thickTop="1" x14ac:dyDescent="0.35">
      <c r="B34" s="102"/>
      <c r="C34" s="56" t="s">
        <v>102</v>
      </c>
      <c r="D34" s="131" t="s">
        <v>276</v>
      </c>
      <c r="E34" s="103"/>
    </row>
    <row r="35" spans="2:5" ht="28.8" x14ac:dyDescent="0.35">
      <c r="B35" s="102"/>
      <c r="C35" s="57" t="s">
        <v>118</v>
      </c>
      <c r="D35" s="251" t="s">
        <v>277</v>
      </c>
      <c r="E35" s="103"/>
    </row>
    <row r="36" spans="2:5" ht="18" x14ac:dyDescent="0.35">
      <c r="B36" s="102"/>
      <c r="C36" s="15" t="s">
        <v>29</v>
      </c>
      <c r="D36" s="129" t="s">
        <v>212</v>
      </c>
      <c r="E36" s="103"/>
    </row>
    <row r="37" spans="2:5" ht="18" x14ac:dyDescent="0.35">
      <c r="B37" s="102"/>
      <c r="C37" s="15" t="s">
        <v>30</v>
      </c>
      <c r="D37" s="129" t="s">
        <v>211</v>
      </c>
      <c r="E37" s="103"/>
    </row>
    <row r="38" spans="2:5" ht="18.600000000000001" thickBot="1" x14ac:dyDescent="0.4">
      <c r="B38" s="102"/>
      <c r="C38" s="17" t="s">
        <v>31</v>
      </c>
      <c r="D38" s="130"/>
      <c r="E38" s="103"/>
    </row>
    <row r="39" spans="2:5" ht="58.2" thickTop="1" x14ac:dyDescent="0.35">
      <c r="B39" s="102"/>
      <c r="C39" s="56" t="s">
        <v>102</v>
      </c>
      <c r="D39" s="131" t="s">
        <v>278</v>
      </c>
      <c r="E39" s="103"/>
    </row>
    <row r="40" spans="2:5" ht="18" x14ac:dyDescent="0.35">
      <c r="B40" s="102"/>
      <c r="C40" s="57" t="s">
        <v>118</v>
      </c>
      <c r="D40" s="250" t="s">
        <v>279</v>
      </c>
      <c r="E40" s="103"/>
    </row>
    <row r="41" spans="2:5" ht="18" x14ac:dyDescent="0.35">
      <c r="B41" s="102"/>
      <c r="C41" s="15" t="s">
        <v>29</v>
      </c>
      <c r="D41" s="129" t="s">
        <v>212</v>
      </c>
      <c r="E41" s="103"/>
    </row>
    <row r="42" spans="2:5" ht="18" x14ac:dyDescent="0.35">
      <c r="B42" s="102"/>
      <c r="C42" s="15" t="s">
        <v>30</v>
      </c>
      <c r="D42" s="129" t="s">
        <v>211</v>
      </c>
      <c r="E42" s="103"/>
    </row>
    <row r="43" spans="2:5" ht="18.600000000000001" thickBot="1" x14ac:dyDescent="0.4">
      <c r="B43" s="102"/>
      <c r="C43" s="17" t="s">
        <v>31</v>
      </c>
      <c r="D43" s="130"/>
      <c r="E43" s="103"/>
    </row>
    <row r="44" spans="2:5" ht="36.6" thickTop="1" x14ac:dyDescent="0.35">
      <c r="B44" s="102"/>
      <c r="C44" s="56" t="s">
        <v>102</v>
      </c>
      <c r="D44" s="123" t="s">
        <v>280</v>
      </c>
      <c r="E44" s="103"/>
    </row>
    <row r="45" spans="2:5" ht="18" x14ac:dyDescent="0.35">
      <c r="B45" s="102"/>
      <c r="C45" s="57" t="s">
        <v>118</v>
      </c>
      <c r="D45" t="s">
        <v>281</v>
      </c>
      <c r="E45" s="103"/>
    </row>
    <row r="46" spans="2:5" ht="18" x14ac:dyDescent="0.35">
      <c r="B46" s="102"/>
      <c r="C46" s="15" t="s">
        <v>29</v>
      </c>
      <c r="D46" s="129" t="s">
        <v>212</v>
      </c>
      <c r="E46" s="103"/>
    </row>
    <row r="47" spans="2:5" ht="18" x14ac:dyDescent="0.35">
      <c r="B47" s="102"/>
      <c r="C47" s="15" t="s">
        <v>30</v>
      </c>
      <c r="D47" s="129" t="s">
        <v>211</v>
      </c>
      <c r="E47" s="103"/>
    </row>
    <row r="48" spans="2:5" ht="18.600000000000001" thickBot="1" x14ac:dyDescent="0.4">
      <c r="B48" s="102"/>
      <c r="C48" s="17" t="s">
        <v>31</v>
      </c>
      <c r="D48" s="130"/>
      <c r="E48" s="103"/>
    </row>
    <row r="49" spans="2:5" ht="43.8" thickTop="1" x14ac:dyDescent="0.35">
      <c r="B49" s="102"/>
      <c r="C49" s="56" t="s">
        <v>102</v>
      </c>
      <c r="D49" s="251" t="s">
        <v>282</v>
      </c>
      <c r="E49" s="103"/>
    </row>
    <row r="50" spans="2:5" ht="18" x14ac:dyDescent="0.35">
      <c r="B50" s="102"/>
      <c r="C50" s="57" t="s">
        <v>118</v>
      </c>
      <c r="D50" s="250" t="s">
        <v>283</v>
      </c>
      <c r="E50" s="103"/>
    </row>
    <row r="51" spans="2:5" ht="18" x14ac:dyDescent="0.35">
      <c r="B51" s="102"/>
      <c r="C51" s="15" t="s">
        <v>29</v>
      </c>
      <c r="D51" s="129" t="s">
        <v>212</v>
      </c>
      <c r="E51" s="103"/>
    </row>
    <row r="52" spans="2:5" ht="18" x14ac:dyDescent="0.35">
      <c r="B52" s="102"/>
      <c r="C52" s="15" t="s">
        <v>30</v>
      </c>
      <c r="D52" s="129" t="s">
        <v>284</v>
      </c>
      <c r="E52" s="103"/>
    </row>
    <row r="53" spans="2:5" ht="18.600000000000001" thickBot="1" x14ac:dyDescent="0.4">
      <c r="B53" s="102"/>
      <c r="C53" s="17" t="s">
        <v>31</v>
      </c>
      <c r="D53" s="130"/>
      <c r="E53" s="103"/>
    </row>
    <row r="54" spans="2:5" ht="15.6" thickTop="1" thickBot="1" x14ac:dyDescent="0.35">
      <c r="B54" s="102"/>
      <c r="C54" s="19"/>
      <c r="D54" s="19"/>
      <c r="E54" s="103"/>
    </row>
    <row r="55" spans="2:5" ht="27" thickTop="1" thickBot="1" x14ac:dyDescent="0.55000000000000004">
      <c r="B55" s="102"/>
      <c r="C55" s="160" t="s">
        <v>32</v>
      </c>
      <c r="D55" s="161"/>
      <c r="E55" s="103"/>
    </row>
    <row r="56" spans="2:5" ht="36.6" thickTop="1" x14ac:dyDescent="0.35">
      <c r="B56" s="102"/>
      <c r="C56" s="56" t="s">
        <v>102</v>
      </c>
      <c r="D56" s="123"/>
      <c r="E56" s="103"/>
    </row>
    <row r="57" spans="2:5" ht="18" x14ac:dyDescent="0.35">
      <c r="B57" s="102"/>
      <c r="C57" s="15" t="s">
        <v>29</v>
      </c>
      <c r="D57" s="123"/>
      <c r="E57" s="103"/>
    </row>
    <row r="58" spans="2:5" ht="18" x14ac:dyDescent="0.35">
      <c r="B58" s="102"/>
      <c r="C58" s="15" t="s">
        <v>33</v>
      </c>
      <c r="D58" s="123"/>
      <c r="E58" s="103"/>
    </row>
    <row r="59" spans="2:5" ht="18.600000000000001" thickBot="1" x14ac:dyDescent="0.4">
      <c r="B59" s="102"/>
      <c r="C59" s="17" t="s">
        <v>34</v>
      </c>
      <c r="D59" s="123"/>
      <c r="E59" s="103"/>
    </row>
    <row r="60" spans="2:5" ht="36.6" thickTop="1" x14ac:dyDescent="0.35">
      <c r="B60" s="102"/>
      <c r="C60" s="56" t="s">
        <v>102</v>
      </c>
      <c r="D60" s="123"/>
      <c r="E60" s="103"/>
    </row>
    <row r="61" spans="2:5" ht="18" x14ac:dyDescent="0.35">
      <c r="B61" s="102"/>
      <c r="C61" s="15" t="s">
        <v>29</v>
      </c>
      <c r="D61" s="16"/>
      <c r="E61" s="103"/>
    </row>
    <row r="62" spans="2:5" ht="18" x14ac:dyDescent="0.35">
      <c r="B62" s="102"/>
      <c r="C62" s="15" t="s">
        <v>33</v>
      </c>
      <c r="D62" s="16"/>
      <c r="E62" s="103"/>
    </row>
    <row r="63" spans="2:5" ht="49.95" customHeight="1" thickBot="1" x14ac:dyDescent="0.4">
      <c r="B63" s="102"/>
      <c r="C63" s="17" t="s">
        <v>34</v>
      </c>
      <c r="D63" s="123"/>
      <c r="E63" s="103"/>
    </row>
    <row r="64" spans="2:5" ht="36.6" thickTop="1" x14ac:dyDescent="0.35">
      <c r="B64" s="108"/>
      <c r="C64" s="56" t="s">
        <v>102</v>
      </c>
      <c r="D64" s="131"/>
      <c r="E64" s="108"/>
    </row>
    <row r="65" spans="2:5" ht="18" x14ac:dyDescent="0.35">
      <c r="B65" s="102"/>
      <c r="C65" s="15" t="s">
        <v>29</v>
      </c>
      <c r="D65" s="16"/>
      <c r="E65" s="103"/>
    </row>
    <row r="66" spans="2:5" ht="18" x14ac:dyDescent="0.35">
      <c r="B66" s="102"/>
      <c r="C66" s="15" t="s">
        <v>33</v>
      </c>
      <c r="D66" s="16"/>
      <c r="E66" s="103"/>
    </row>
    <row r="67" spans="2:5" ht="18.600000000000001" thickBot="1" x14ac:dyDescent="0.4">
      <c r="B67" s="102"/>
      <c r="C67" s="17" t="s">
        <v>34</v>
      </c>
      <c r="D67" s="131"/>
      <c r="E67" s="103"/>
    </row>
    <row r="68" spans="2:5" ht="15" thickTop="1" x14ac:dyDescent="0.3">
      <c r="B68" s="102"/>
      <c r="C68" s="19"/>
      <c r="D68" s="19"/>
      <c r="E68" s="103"/>
    </row>
    <row r="69" spans="2:5" ht="15" thickBot="1" x14ac:dyDescent="0.35">
      <c r="B69" s="111"/>
      <c r="C69" s="19"/>
      <c r="D69" s="19"/>
      <c r="E69" s="104"/>
    </row>
    <row r="70" spans="2:5" ht="15.6" thickTop="1" thickBot="1" x14ac:dyDescent="0.35">
      <c r="B70" s="105"/>
      <c r="C70" s="105"/>
      <c r="D70" s="105"/>
      <c r="E70" s="104"/>
    </row>
    <row r="71" spans="2:5" ht="15" thickTop="1" x14ac:dyDescent="0.3"/>
  </sheetData>
  <mergeCells count="7">
    <mergeCell ref="C30:D30"/>
    <mergeCell ref="C27:D27"/>
    <mergeCell ref="C33:D33"/>
    <mergeCell ref="C55:D55"/>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scale="80" orientation="landscape"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P303"/>
  <sheetViews>
    <sheetView workbookViewId="0">
      <selection sqref="A1:H34"/>
    </sheetView>
  </sheetViews>
  <sheetFormatPr defaultRowHeight="14.4" x14ac:dyDescent="0.3"/>
  <cols>
    <col min="1" max="1" width="21.77734375" bestFit="1" customWidth="1"/>
    <col min="2" max="2" width="12.6640625" bestFit="1" customWidth="1"/>
    <col min="3" max="3" width="13.109375" bestFit="1" customWidth="1"/>
    <col min="4" max="4" width="9.33203125" customWidth="1"/>
    <col min="5" max="5" width="13" bestFit="1" customWidth="1"/>
    <col min="6" max="6" width="11.88671875" bestFit="1" customWidth="1"/>
    <col min="7" max="7" width="17" bestFit="1" customWidth="1"/>
    <col min="8" max="8" width="12.77734375" style="133" bestFit="1" customWidth="1"/>
    <col min="9" max="9" width="23.5546875" bestFit="1" customWidth="1"/>
    <col min="10" max="10" width="9" customWidth="1"/>
    <col min="11" max="11" width="9.5546875" bestFit="1" customWidth="1"/>
    <col min="12" max="12" width="12.33203125" bestFit="1" customWidth="1"/>
    <col min="13" max="13" width="11.5546875" bestFit="1" customWidth="1"/>
    <col min="14" max="14" width="11.88671875" bestFit="1" customWidth="1"/>
    <col min="15" max="15" width="18.88671875" bestFit="1" customWidth="1"/>
    <col min="16" max="16" width="14.33203125" bestFit="1" customWidth="1"/>
  </cols>
  <sheetData>
    <row r="1" spans="1:16" x14ac:dyDescent="0.3">
      <c r="A1" s="156" t="s">
        <v>2</v>
      </c>
      <c r="B1" s="156" t="s">
        <v>214</v>
      </c>
      <c r="C1" s="156" t="s">
        <v>215</v>
      </c>
      <c r="D1" s="156" t="s">
        <v>216</v>
      </c>
      <c r="E1" s="157" t="s">
        <v>217</v>
      </c>
      <c r="F1" s="157" t="s">
        <v>218</v>
      </c>
      <c r="G1" s="156" t="s">
        <v>219</v>
      </c>
      <c r="H1" s="132" t="s">
        <v>220</v>
      </c>
      <c r="I1" s="168" t="s">
        <v>221</v>
      </c>
      <c r="J1" s="169"/>
      <c r="K1" s="168" t="s">
        <v>222</v>
      </c>
      <c r="L1" s="170"/>
      <c r="M1" s="170"/>
      <c r="N1" s="170"/>
      <c r="O1" s="170"/>
      <c r="P1" s="169"/>
    </row>
    <row r="2" spans="1:16" x14ac:dyDescent="0.3">
      <c r="A2" s="156" t="s">
        <v>223</v>
      </c>
      <c r="B2" s="156" t="s">
        <v>224</v>
      </c>
      <c r="C2" s="156" t="s">
        <v>225</v>
      </c>
      <c r="D2" s="156" t="s">
        <v>226</v>
      </c>
      <c r="E2" s="157" t="s">
        <v>227</v>
      </c>
      <c r="F2" s="157">
        <v>46288.331944444399</v>
      </c>
      <c r="G2" s="156" t="s">
        <v>228</v>
      </c>
      <c r="H2" s="133" t="str" cm="1">
        <f t="array" ref="H2">_xlfn.IFS($F2="","FN",$E2="","",$E2&lt;&gt;"",$F2-$E2)</f>
        <v/>
      </c>
      <c r="I2" s="166" t="s">
        <v>229</v>
      </c>
      <c r="J2" s="167"/>
      <c r="K2" s="151" t="s">
        <v>230</v>
      </c>
      <c r="L2" s="152" t="s">
        <v>231</v>
      </c>
      <c r="M2" s="153" t="s">
        <v>232</v>
      </c>
      <c r="N2" s="150" t="s">
        <v>233</v>
      </c>
      <c r="O2" s="154" t="s">
        <v>234</v>
      </c>
      <c r="P2" s="155" t="s">
        <v>235</v>
      </c>
    </row>
    <row r="3" spans="1:16" x14ac:dyDescent="0.3">
      <c r="A3" s="156" t="s">
        <v>223</v>
      </c>
      <c r="B3" s="156" t="s">
        <v>224</v>
      </c>
      <c r="C3" s="156" t="s">
        <v>225</v>
      </c>
      <c r="D3" s="156" t="s">
        <v>236</v>
      </c>
      <c r="E3" s="157" t="s">
        <v>227</v>
      </c>
      <c r="F3" s="157">
        <v>46294.560416666704</v>
      </c>
      <c r="G3" s="156" t="s">
        <v>237</v>
      </c>
      <c r="H3" s="133" t="str" cm="1">
        <f t="array" ref="H3">_xlfn.IFS($F3="","FN",$E3="","",$E3&lt;&gt;"",$F3-$E3)</f>
        <v/>
      </c>
      <c r="I3" s="137" t="s">
        <v>223</v>
      </c>
      <c r="J3" s="138">
        <f ca="1">IF((COUNTIF($A$2:$A$3000,"2 WEST")-COUNTIFS($A$2:$A$3000,"2 WEST",$G$2:$G$3000,"N/A"))=0,"",(COUNTIFS($A$2:$A$3000,"2 WEST",$G$2:$G$3000,"yes"))/(COUNTIF($A$2:$A$3000,"2 WEST")-COUNTIFS($A$2:$A$3000,"2 WEST",$G$2:$G$3000,"N/A")))</f>
        <v>0.66666666666666663</v>
      </c>
      <c r="K3" s="139">
        <f ca="1">IF(COUNTIFS($A$2:$A$303,"2 WEST",$H$2:$H$303,"0")=0,"",COUNTIFS($A$2:$A$303,"2 WEST",$H$2:$H$303,"0"))</f>
        <v>1</v>
      </c>
      <c r="L3" s="140" t="str">
        <f ca="1">IF(COUNTIFS($A$2:$A$303,"2 WEST",$H$2:$H$303,"1")=0,"",COUNTIFS($A$2:$A$303,"2 WEST",$H$2:$H$303,"1"))</f>
        <v/>
      </c>
      <c r="M3" s="140" t="str">
        <f ca="1">IF(COUNTIFS($A$2:$A$303,"2 WEST",$H$2:$H$303,"2")=0,"",COUNTIFS($A$2:$A$303,"2 WEST",$H$2:$H$303,"2"))</f>
        <v/>
      </c>
      <c r="N3" s="140">
        <f ca="1">IF(COUNTIFS($A$2:$A$303,"2 WEST",$H$2:$H$303,"&gt;2")=0,"",COUNTIFS($A$2:$A$303,"2 WEST",$H$2:$H$303,"&gt;2"))</f>
        <v>1</v>
      </c>
      <c r="O3" s="140">
        <f ca="1">IF(COUNTIFS($A$2:$A$303,"2 WEST",$H$2:$H$303,"")=0,"",COUNTIFS($A$2:$A$303,"2 WEST",$H$2:$H$303,""))</f>
        <v>2</v>
      </c>
      <c r="P3" s="141">
        <f ca="1">IF(COUNTIFS($A$2:$A$300,"2 WEST",$H$2:$H$300,"FN")=0,"",COUNTIFS($A$2:$A$300,"2 WEST",$H$2:$H$300,"FN"))</f>
        <v>2</v>
      </c>
    </row>
    <row r="4" spans="1:16" x14ac:dyDescent="0.3">
      <c r="A4" s="156" t="s">
        <v>223</v>
      </c>
      <c r="B4" s="156" t="s">
        <v>224</v>
      </c>
      <c r="C4" s="156" t="s">
        <v>225</v>
      </c>
      <c r="D4" s="156" t="s">
        <v>238</v>
      </c>
      <c r="E4" s="157">
        <v>46266.3972222222</v>
      </c>
      <c r="F4" s="157">
        <v>46266.3972222222</v>
      </c>
      <c r="G4" s="156" t="s">
        <v>237</v>
      </c>
      <c r="H4" s="133" cm="1">
        <f t="array" ref="H4">_xlfn.IFS($F4="","FN",$E4="","",$E4&lt;&gt;"",$F4-$E4)</f>
        <v>0</v>
      </c>
      <c r="I4" s="142" t="s">
        <v>239</v>
      </c>
      <c r="J4" s="138" t="str">
        <f ca="1">IF((COUNTIF($A$2:$A$3000,"3 WEST")-COUNTIFS($A$2:$A$3000,"3 WEST",$G$2:$G$3000,"N/A"))=0,"",(COUNTIFS($A$2:$A$3000,"3 WEST",$G$2:$G$3000,"yes"))/(COUNTIF($A$2:$A$3000,"3 WEST")-COUNTIFS($A$2:$A$3000,"3 WEST",$G$2:$G$3000,"N/A")))</f>
        <v/>
      </c>
      <c r="K4" s="134" t="str">
        <f ca="1">IF(COUNTIFS($A$2:$A$303,"3 WEST",$H$2:$H$303,"0")=0,"",COUNTIFS($A$2:$A$303,"3 WEST",$H$2:$H$303,"0"))</f>
        <v/>
      </c>
      <c r="L4" s="135" t="str">
        <f ca="1">IF(COUNTIFS($A$2:$A$303,"3 WEST",$H$2:$H$303,"1")=0,"",COUNTIFS($A$2:$A$303,"3 WEST",$H$2:$H$303,"1"))</f>
        <v/>
      </c>
      <c r="M4" s="135" t="str">
        <f ca="1">IF(COUNTIFS($A$2:$A$303,"3 WEST",$H$2:$H$303,"2")=0,"",COUNTIFS($A$2:$A$303,"3 WEST",$H$2:$H$303,"2"))</f>
        <v/>
      </c>
      <c r="N4" s="135" t="str">
        <f ca="1">IF(COUNTIFS($A$2:$A$303,"3 WEST",$H$2:$H$303,"&gt;2")=0,"",COUNTIFS($A$2:$A$303,"3 WEST",$H$2:$H$303,"&gt;2"))</f>
        <v/>
      </c>
      <c r="O4" s="135" t="str">
        <f ca="1">IF(COUNTIFS($A$2:$A$303,"3 WEST",$H$2:$H$303,"")=0,"",COUNTIFS($A$2:$A$303,"3 WEST",$H$2:$H$303,""))</f>
        <v/>
      </c>
      <c r="P4" s="136" t="str">
        <f ca="1">IF(COUNTIFS($A$2:$A$300,"3 WEST",$H$2:$H$300,"FN")=0,"",COUNTIFS($A$2:$A$300,"3 WEST",$H$2:$H$300,"FN"))</f>
        <v/>
      </c>
    </row>
    <row r="5" spans="1:16" x14ac:dyDescent="0.3">
      <c r="A5" s="156" t="s">
        <v>223</v>
      </c>
      <c r="B5" s="156" t="s">
        <v>224</v>
      </c>
      <c r="C5" s="156" t="s">
        <v>225</v>
      </c>
      <c r="D5" s="156" t="s">
        <v>240</v>
      </c>
      <c r="E5" s="157">
        <v>46268.326388888898</v>
      </c>
      <c r="F5" s="157">
        <v>46289.326388888898</v>
      </c>
      <c r="G5" s="156" t="s">
        <v>237</v>
      </c>
      <c r="H5" s="133" cm="1">
        <f t="array" ref="H5">_xlfn.IFS($F5="","FN",$E5="","",$E5&lt;&gt;"",$F5-$E5)</f>
        <v>21</v>
      </c>
      <c r="I5" s="142" t="s">
        <v>241</v>
      </c>
      <c r="J5" s="138" t="str">
        <f ca="1">IF((COUNTIF($A$2:$A$3000,"CARDIOLOGY")-COUNTIFS($A$2:$A$3000,"CARDIOLOGY",$G$2:$G$3000,"N/A"))=0,"",(COUNTIFS($A$2:$A$3000,"CARDIOLOGY",$G$2:$G$3000,"yes"))/(COUNTIF($A$2:$A$3000,"CARDIOLOGY")-COUNTIFS($A$2:$A$3000,"CARDIOLOGY",$G$2:$G$3000,"N/A")))</f>
        <v/>
      </c>
      <c r="K5" s="134" t="str">
        <f ca="1">IF(COUNTIFS($A$2:$A$303,"CARDIOLOGY",$H$2:$H$303,"0")=0,"",COUNTIFS($A$2:$A$303,"CARDIOLOGY",$H$2:$H$303,"0"))</f>
        <v/>
      </c>
      <c r="L5" s="135" t="str">
        <f ca="1">IF(COUNTIFS($A$2:$A$303,"CARDIOLOGY",$H$2:$H$303,"1")=0,"",COUNTIFS($A$2:$A$303,"CARDIOLOGY",$H$2:$H$303,"1"))</f>
        <v/>
      </c>
      <c r="M5" s="135" t="str">
        <f ca="1">IF(COUNTIFS($A$2:$A$303,"CARDIOLOGY",$H$2:$H$303,"2")=0,"",COUNTIFS($A$2:$A$303,"CARDIOLOGY",$H$2:$H$303,"2"))</f>
        <v/>
      </c>
      <c r="N5" s="135" t="str">
        <f ca="1">IF(COUNTIFS($A$2:$A$303,"CARDIOLOGY",$H$2:$H$303,"&gt;2")=0,"",COUNTIFS($A$2:$A$303,"CARDIOLOGY",$H$2:$H$303,"&gt;2"))</f>
        <v/>
      </c>
      <c r="O5" s="135" t="str">
        <f ca="1">IF(COUNTIFS($A$2:$A$303,"CARDIOLOGY",$H$2:$H$303,"")=0,"",COUNTIFS($A$2:$A$303,"CARDIOLOGY",$H$2:$H$303,""))</f>
        <v/>
      </c>
      <c r="P5" s="136" t="str">
        <f ca="1">IF(COUNTIFS($A$2:$A$300,"CARDIOLOGY",$H$2:$H$300,"FN")=0,"",COUNTIFS($A$2:$A$300,"CARDIOLOGY",$H$2:$H$300,"FN"))</f>
        <v/>
      </c>
    </row>
    <row r="6" spans="1:16" x14ac:dyDescent="0.3">
      <c r="A6" s="156" t="s">
        <v>223</v>
      </c>
      <c r="B6" s="156" t="s">
        <v>224</v>
      </c>
      <c r="C6" s="156" t="s">
        <v>225</v>
      </c>
      <c r="D6" s="156" t="s">
        <v>242</v>
      </c>
      <c r="E6" s="157">
        <v>46282.3305555556</v>
      </c>
      <c r="F6" s="157" t="s">
        <v>227</v>
      </c>
      <c r="G6" s="156" t="s">
        <v>228</v>
      </c>
      <c r="H6" s="133" t="str" cm="1">
        <f t="array" ref="H6">_xlfn.IFS($F6="","FN",$E6="","",$E6&lt;&gt;"",$F6-$E6)</f>
        <v>FN</v>
      </c>
      <c r="I6" s="142" t="s">
        <v>243</v>
      </c>
      <c r="J6" s="138">
        <f ca="1">IF((COUNTIF($A$2:$A$3000,"EMERGENCY")-COUNTIFS($A$2:$A$3000,"EMERGENCY",$G$2:$G$3000,"N/A"))=0,"",(COUNTIFS($A$2:$A$3000,"EMERGENCY",$G$2:$G$3000,"yes"))/(COUNTIF($A$2:$A$3000,"EMERGENCY")-COUNTIFS($A$2:$A$3000,"EMERGENCY",$G$2:$G$3000,"N/A")))</f>
        <v>0.2</v>
      </c>
      <c r="K6" s="134" t="str">
        <f ca="1">IF(COUNTIFS($A$2:$A$303,"EMERGENCY",$H$2:$H$303,"0")=0,"",COUNTIFS($A$2:$A$303,"EMERGENCY",$H$2:$H$303,"0"))</f>
        <v/>
      </c>
      <c r="L6" s="135" t="str">
        <f ca="1">IF(COUNTIFS($A$2:$A$303,"EMERGENCY",$H$2:$H$303,"1")=0,"",COUNTIFS($A$2:$A$303,"EMERGENCY",$H$2:$H$303,"1"))</f>
        <v/>
      </c>
      <c r="M6" s="135" t="str">
        <f ca="1">IF(COUNTIFS($A$2:$A$303,"EMERGENCY",$H$2:$H$303,"2")=0,"",COUNTIFS($A$2:$A$303,"EMERGENCY",$H$2:$H$303,"2"))</f>
        <v/>
      </c>
      <c r="N6" s="135" t="str">
        <f ca="1">IF(COUNTIFS($A$2:$A$303,"EMERGENCY",$H$2:$H$303,"&gt;2")=0,"",COUNTIFS($A$2:$A$303,"EMERGENCY",$H$2:$H$303,"&gt;2"))</f>
        <v/>
      </c>
      <c r="O6" s="135">
        <f ca="1">IF(COUNTIFS($A$2:$A$303,"EMERGENCY",$H$2:$H$303,"")=0,"",COUNTIFS($A$2:$A$303,"EMERGENCY",$H$2:$H$303,""))</f>
        <v>3</v>
      </c>
      <c r="P6" s="136">
        <f ca="1">IF(COUNTIFS($A$2:$A$300,"EMERGENCY",$H$2:$H$300,"FN")=0,"",COUNTIFS($A$2:$A$300,"EMERGENCY",$H$2:$H$300,"FN"))</f>
        <v>2</v>
      </c>
    </row>
    <row r="7" spans="1:16" x14ac:dyDescent="0.3">
      <c r="A7" s="156" t="s">
        <v>223</v>
      </c>
      <c r="B7" s="156" t="s">
        <v>224</v>
      </c>
      <c r="C7" s="156" t="s">
        <v>244</v>
      </c>
      <c r="D7" s="156" t="s">
        <v>245</v>
      </c>
      <c r="E7" s="157">
        <v>46284.508333333302</v>
      </c>
      <c r="F7" s="157" t="s">
        <v>227</v>
      </c>
      <c r="G7" s="156" t="s">
        <v>237</v>
      </c>
      <c r="H7" s="133" t="str" cm="1">
        <f t="array" ref="H7">_xlfn.IFS($F7="","FN",$E7="","",$E7&lt;&gt;"",$F7-$E7)</f>
        <v>FN</v>
      </c>
      <c r="I7" s="142" t="s">
        <v>246</v>
      </c>
      <c r="J7" s="138" t="str">
        <f ca="1">IF((COUNTIF($A$2:$A$3000,"ENDOSCOPY")-COUNTIFS($A$2:$A$3000,"ENDOSCOPY",$G$2:$G$3000,"N/A"))=0,"",(COUNTIFS($A$2:$A$3000,"ENDOSCOPY",$G$2:$G$3000,"yes"))/(COUNTIF($A$2:$A$3000,"ENDOSCOPY")-COUNTIFS($A$2:$A$3000,"ENDOSCOPY",$G$2:$G$3000,"N/A")))</f>
        <v/>
      </c>
      <c r="K7" s="134" t="str">
        <f ca="1">IF(COUNTIFS($A$2:$A$303,"ENDOSCOPY",$H$2:$H$303,"0")=0,"",COUNTIFS($A$2:$A$303,"ENDOSCOPY",$H$2:$H$303,"0"))</f>
        <v/>
      </c>
      <c r="L7" s="135" t="str">
        <f ca="1">IF(COUNTIFS($A$2:$A$303,"ENDOSCOPY",$H$2:$H$303,"1")=0,"",COUNTIFS($A$2:$A$303,"ENDOSCOPY",$H$2:$H$303,"1"))</f>
        <v/>
      </c>
      <c r="M7" s="135" t="str">
        <f ca="1">IF(COUNTIFS($A$2:$A$303,"ENDOSCOPY",$H$2:$H$303,"2")=0,"",COUNTIFS($A$2:$A$303,"ENDOSCOPY",$H$2:$H$303,"2"))</f>
        <v/>
      </c>
      <c r="N7" s="135" t="str">
        <f ca="1">IF(COUNTIFS($A$2:$A$303,"ENDOSCOPY",$H$2:$H$303,"&gt;2")=0,"",COUNTIFS($A$2:$A$303,"ENDOSCOPY",$H$2:$H$303,"&gt;2"))</f>
        <v/>
      </c>
      <c r="O7" s="135" t="str">
        <f ca="1">IF(COUNTIFS($A$2:$A$303,"ENDOSCOPY",$H$2:$H$303,"")=0,"",COUNTIFS($A$2:$A$303,"ENDOSCOPY",$H$2:$H$303,""))</f>
        <v/>
      </c>
      <c r="P7" s="136" t="str">
        <f ca="1">IF(COUNTIFS($A$2:$A$300,"ENDOSCOPY",$H$2:$H$300,"FN")=0,"",COUNTIFS($A$2:$A$300,"ENDOSCOPY",$H$2:$H$300,"FN"))</f>
        <v/>
      </c>
    </row>
    <row r="8" spans="1:16" x14ac:dyDescent="0.3">
      <c r="A8" s="156" t="s">
        <v>243</v>
      </c>
      <c r="B8" s="156" t="s">
        <v>224</v>
      </c>
      <c r="C8" s="156" t="s">
        <v>225</v>
      </c>
      <c r="D8" s="156" t="s">
        <v>247</v>
      </c>
      <c r="E8" s="157" t="s">
        <v>227</v>
      </c>
      <c r="F8" s="157">
        <v>46294.531944444403</v>
      </c>
      <c r="G8" s="156" t="s">
        <v>248</v>
      </c>
      <c r="H8" s="133" t="str" cm="1">
        <f t="array" ref="H8">_xlfn.IFS($F8="","FN",$E8="","",$E8&lt;&gt;"",$F8-$E8)</f>
        <v/>
      </c>
      <c r="I8" s="142" t="s">
        <v>249</v>
      </c>
      <c r="J8" s="138">
        <f ca="1">IF((COUNTIF($A$2:$A$3000,"ICU")-COUNTIFS($A$2:$A$3000,"ICU",$G$2:$G$3000,"N/A"))=0,"",(COUNTIFS($A$2:$A$3000,"ICU",$G$2:$G$3000,"yes"))/(COUNTIF($A$2:$A$3000,"ICU")-COUNTIFS($A$2:$A$3000,"ICU",$G$2:$G$3000,"N/A")))</f>
        <v>1</v>
      </c>
      <c r="K8" s="134">
        <f ca="1">IF(COUNTIFS($A$2:$A$303,"ICU",$H$2:$H$303,"0")=0,"",COUNTIFS($A$2:$A$303,"ICU",$H$2:$H$303,"0"))</f>
        <v>1</v>
      </c>
      <c r="L8" s="135" t="str">
        <f ca="1">IF(COUNTIFS($A$2:$A$303,"ICU",$H$2:$H$303,"1")=0,"",COUNTIFS($A$2:$A$303,"ICU",$H$2:$H$303,"1"))</f>
        <v/>
      </c>
      <c r="M8" s="135" t="str">
        <f ca="1">IF(COUNTIFS($A$2:$A$303,"ICU",$H$2:$H$303,"2")=0,"",COUNTIFS($A$2:$A$303,"ICU",$H$2:$H$303,"2"))</f>
        <v/>
      </c>
      <c r="N8" s="135" t="str">
        <f ca="1">IF(COUNTIFS($A$2:$A$303,"ICU",$H$2:$H$303,"&gt;2")=0,"",COUNTIFS($A$2:$A$303,"ICU",$H$2:$H$303,"&gt;2"))</f>
        <v/>
      </c>
      <c r="O8" s="135" t="str">
        <f ca="1">IF(COUNTIFS($A$2:$A$303,"ICU",$H$2:$H$303,"")=0,"",COUNTIFS($A$2:$A$303,"ICU",$H$2:$H$303,""))</f>
        <v/>
      </c>
      <c r="P8" s="136">
        <f ca="1">IF(COUNTIFS($A$2:$A$300,"ICU",$H$2:$H$300,"FN")=0,"",COUNTIFS($A$2:$A$300,"ICU",$H$2:$H$300,"FN"))</f>
        <v>3</v>
      </c>
    </row>
    <row r="9" spans="1:16" x14ac:dyDescent="0.3">
      <c r="A9" s="156" t="s">
        <v>243</v>
      </c>
      <c r="B9" s="156" t="s">
        <v>224</v>
      </c>
      <c r="C9" s="156" t="s">
        <v>225</v>
      </c>
      <c r="D9" s="156" t="s">
        <v>250</v>
      </c>
      <c r="E9" s="157" t="s">
        <v>227</v>
      </c>
      <c r="F9" s="157">
        <v>46294.537499999999</v>
      </c>
      <c r="G9" s="156" t="s">
        <v>228</v>
      </c>
      <c r="H9" s="133" t="str" cm="1">
        <f t="array" ref="H9">_xlfn.IFS($F9="","FN",$E9="","",$E9&lt;&gt;"",$F9-$E9)</f>
        <v/>
      </c>
      <c r="I9" s="142" t="s">
        <v>251</v>
      </c>
      <c r="J9" s="138" t="str">
        <f ca="1">IF((COUNTIF($A$2:$A$3000,"LAB")-COUNTIFS($A$2:$A$3000,"LAB",$G$2:$G$3000,"N/A"))=0,"",(COUNTIFS($A$2:$A$3000,"LAB",$G$2:$G$3000,"yes"))/(COUNTIF($A$2:$A$3000,"LAB")-COUNTIFS($A$2:$A$3000,"LAB",$G$2:$G$3000,"N/A")))</f>
        <v/>
      </c>
      <c r="K9" s="134" t="str">
        <f ca="1">IF(COUNTIFS($A$2:$A$303,"LAB",$H$2:$H$303,"0")=0,"",COUNTIFS($A$2:$A$303,"LAB",$H$2:$H$303,"0"))</f>
        <v/>
      </c>
      <c r="L9" s="135" t="str">
        <f ca="1">IF(COUNTIFS($A$2:$A$303,"LAB",$H$2:$H$303,"1")=0,"",COUNTIFS($A$2:$A$303,"LAB",$H$2:$H$303,"1"))</f>
        <v/>
      </c>
      <c r="M9" s="135" t="str">
        <f ca="1">IF(COUNTIFS($A$2:$A$303,"LAB",$H$2:$H$303,"2")=0,"",COUNTIFS($A$2:$A$303,"LAB",$H$2:$H$303,"2"))</f>
        <v/>
      </c>
      <c r="N9" s="135" t="str">
        <f ca="1">IF(COUNTIFS($A$2:$A$303,"LAB",$H$2:$H$303,"&gt;2")=0,"",COUNTIFS($A$2:$A$303,"LAB",$H$2:$H$303,"&gt;2"))</f>
        <v/>
      </c>
      <c r="O9" s="135" t="str">
        <f ca="1">IF(COUNTIFS($A$2:$A$303,"LAB",$H$2:$H$303,"")=0,"",COUNTIFS($A$2:$A$303,"LAB",$H$2:$H$303,""))</f>
        <v/>
      </c>
      <c r="P9" s="136" t="str">
        <f ca="1">IF(COUNTIFS($A$2:$A$300,"LAB",$H$2:$H$300,"FN")=0,"",COUNTIFS($A$2:$A$300,"LAB",$H$2:$H$300,"FN"))</f>
        <v/>
      </c>
    </row>
    <row r="10" spans="1:16" x14ac:dyDescent="0.3">
      <c r="A10" s="156" t="s">
        <v>243</v>
      </c>
      <c r="B10" s="156" t="s">
        <v>224</v>
      </c>
      <c r="C10" s="156" t="s">
        <v>225</v>
      </c>
      <c r="D10" s="156" t="s">
        <v>252</v>
      </c>
      <c r="E10" s="157" t="s">
        <v>227</v>
      </c>
      <c r="F10" s="157">
        <v>46294.542361111096</v>
      </c>
      <c r="G10" s="156" t="s">
        <v>228</v>
      </c>
      <c r="H10" s="133" t="str" cm="1">
        <f t="array" ref="H10">_xlfn.IFS($F10="","FN",$E10="","",$E10&lt;&gt;"",$F10-$E10)</f>
        <v/>
      </c>
      <c r="I10" s="142" t="s">
        <v>253</v>
      </c>
      <c r="J10" s="138">
        <f ca="1">IF((COUNTIF($A$2:$A$3000,"PACU")-COUNTIFS($A$2:$A$3000,"PACU",$G$2:$G$3000,"N/A"))=0,"",(COUNTIFS($A$2:$A$3000,"PACU",$G$2:$G$3000,"yes"))/(COUNTIF($A$2:$A$3000,"PACU")-COUNTIFS($A$2:$A$3000,"PACU",$G$2:$G$3000,"N/A")))</f>
        <v>1</v>
      </c>
      <c r="K10" s="134">
        <f ca="1">IF(COUNTIFS($A$2:$A$303,"PACU",$H$2:$H$303,"0")=0,"",COUNTIFS($A$2:$A$303,"PACU",$H$2:$H$303,"0"))</f>
        <v>1</v>
      </c>
      <c r="L10" s="135" t="str">
        <f ca="1">IF(COUNTIFS($A$2:$A$303,"PACU",$H$2:$H$303,"1")=0,"",COUNTIFS($A$2:$A$303,"PACU",$H$2:$H$303,"1"))</f>
        <v/>
      </c>
      <c r="M10" s="135" t="str">
        <f ca="1">IF(COUNTIFS($A$2:$A$303,"PACU",$H$2:$H$303,"2")=0,"",COUNTIFS($A$2:$A$303,"PACU",$H$2:$H$303,"2"))</f>
        <v/>
      </c>
      <c r="N10" s="135" t="str">
        <f ca="1">IF(COUNTIFS($A$2:$A$303,"PACU",$H$2:$H$303,"&gt;2")=0,"",COUNTIFS($A$2:$A$303,"PACU",$H$2:$H$303,"&gt;2"))</f>
        <v/>
      </c>
      <c r="O10" s="135" t="str">
        <f ca="1">IF(COUNTIFS($A$2:$A$303,"PACU",$H$2:$H$303,"")=0,"",COUNTIFS($A$2:$A$303,"PACU",$H$2:$H$303,""))</f>
        <v/>
      </c>
      <c r="P10" s="136" t="str">
        <f ca="1">IF(COUNTIFS($A$2:$A$300,"PACU",$H$2:$H$300,"FN")=0,"",COUNTIFS($A$2:$A$300,"PACU",$H$2:$H$300,"FN"))</f>
        <v/>
      </c>
    </row>
    <row r="11" spans="1:16" x14ac:dyDescent="0.3">
      <c r="A11" s="156" t="s">
        <v>243</v>
      </c>
      <c r="B11" s="156" t="s">
        <v>224</v>
      </c>
      <c r="C11" s="156" t="s">
        <v>225</v>
      </c>
      <c r="D11" s="156" t="s">
        <v>254</v>
      </c>
      <c r="E11" s="157" t="s">
        <v>227</v>
      </c>
      <c r="F11" s="157" t="s">
        <v>227</v>
      </c>
      <c r="G11" s="156" t="s">
        <v>228</v>
      </c>
      <c r="H11" s="133" t="str" cm="1">
        <f t="array" ref="H11">_xlfn.IFS($F11="","FN",$E11="","",$E11&lt;&gt;"",$F11-$E11)</f>
        <v>FN</v>
      </c>
      <c r="I11" s="142" t="s">
        <v>255</v>
      </c>
      <c r="J11" s="138" t="str">
        <f ca="1">IF((COUNTIF($A$2:$A$3000,"PAIN MEDICINE")-COUNTIFS($A$2:$A$3000,"PAIN MEDICINE",$G$2:$G$3000,"N/A"))=0,"",(COUNTIFS($A$2:$A$3000,"PAIN MEDICINE",$G$2:$G$3000,"yes"))/(COUNTIF($A$2:$A$3000,"PAIN MEDICINE")-COUNTIFS($A$2:$A$3000,"PAIN MEDICINE",$G$2:$G$3000,"N/A")))</f>
        <v/>
      </c>
      <c r="K11" s="134" t="str">
        <f ca="1">IF(COUNTIFS($A$2:$A$303,"PAIN MEDICINE",$H$2:$H$303,"0")=0,"",COUNTIFS($A$2:$A$303,"PAIN MEDICINE",$H$2:$H$303,"0"))</f>
        <v/>
      </c>
      <c r="L11" s="135" t="str">
        <f ca="1">IF(COUNTIFS($A$2:$A$303,"PAIN MEDICINE",$H$2:$H$303,"1")=0,"",COUNTIFS($A$2:$A$303,"PAIN MEDICINE",$H$2:$H$303,"1"))</f>
        <v/>
      </c>
      <c r="M11" s="135" t="str">
        <f ca="1">IF(COUNTIFS($A$2:$A$303,"PAIN MEDICINE",$H$2:$H$303,"2")=0,"",COUNTIFS($A$2:$A$303,"PAIN MEDICINE",$H$2:$H$303,"2"))</f>
        <v/>
      </c>
      <c r="N11" s="135" t="str">
        <f ca="1">IF(COUNTIFS($A$2:$A$303,"PAIN MEDICINE",$H$2:$H$303,"&gt;2")=0,"",COUNTIFS($A$2:$A$303,"PAIN MEDICINE",$H$2:$H$303,"&gt;2"))</f>
        <v/>
      </c>
      <c r="O11" s="135" t="str">
        <f ca="1">IF(COUNTIFS($A$2:$A$303,"PAIN MEDICINE",$H$2:$H$303,"")=0,"",COUNTIFS($A$2:$A$303,"PAIN MEDICINE",$H$2:$H$303,""))</f>
        <v/>
      </c>
      <c r="P11" s="136" t="str">
        <f ca="1">IF(COUNTIFS($A$2:$A$300,"PAIN MEDICINE",$H$2:$H$300,"FN")=0,"",COUNTIFS($A$2:$A$300,"PAIN MEDICINE",$H$2:$H$300,"FN"))</f>
        <v/>
      </c>
    </row>
    <row r="12" spans="1:16" x14ac:dyDescent="0.3">
      <c r="A12" s="156" t="s">
        <v>243</v>
      </c>
      <c r="B12" s="156" t="s">
        <v>224</v>
      </c>
      <c r="C12" s="156" t="s">
        <v>225</v>
      </c>
      <c r="D12" s="156" t="s">
        <v>256</v>
      </c>
      <c r="E12" s="157" t="s">
        <v>227</v>
      </c>
      <c r="F12" s="157" t="s">
        <v>227</v>
      </c>
      <c r="G12" s="156" t="s">
        <v>228</v>
      </c>
      <c r="H12" s="133" t="str" cm="1">
        <f t="array" ref="H12">_xlfn.IFS($F12="","FN",$E12="","",$E12&lt;&gt;"",$F12-$E12)</f>
        <v>FN</v>
      </c>
      <c r="I12" s="142" t="s">
        <v>257</v>
      </c>
      <c r="J12" s="138" t="str">
        <f ca="1">IF((COUNTIF($A$2:$A$3000,"PHYSICAL THERAPY")-COUNTIFS($A$2:$A$3000,"PHYSICAL THERAPY",$G$2:$G$3000,"N/A"))=0,"",(COUNTIFS($A$2:$A$3000,"PHYSICAL THERAPY",$G$2:$G$3000,"yes"))/(COUNTIF($A$2:$A$3000,"PHYSICAL THERAPY")-COUNTIFS($A$2:$A$3000,"PHYSICAL THERAPY",$G$2:$G$3000,"N/A")))</f>
        <v/>
      </c>
      <c r="K12" s="134" t="str">
        <f ca="1">IF(COUNTIFS($A$2:$A$303,"PHYSICAL THERAPY",$H$2:$H$303,"0")=0,"",COUNTIFS($A$2:$A$303,"PHYSICAL THERAPY",$H$2:$H$303,"0"))</f>
        <v/>
      </c>
      <c r="L12" s="135" t="str">
        <f ca="1">IF(COUNTIFS($A$2:$A$303,"PHYSICAL THERAPY",$H$2:$H$303,"1")=0,"",COUNTIFS($A$2:$A$303,"PHYSICAL THERAPY",$H$2:$H$303,"1"))</f>
        <v/>
      </c>
      <c r="M12" s="135" t="str">
        <f ca="1">IF(COUNTIFS($A$2:$A$303,"PHYSICAL THERAPY",$H$2:$H$303,"2")=0,"",COUNTIFS($A$2:$A$303,"PHYSICAL THERAPY",$H$2:$H$303,"2"))</f>
        <v/>
      </c>
      <c r="N12" s="135" t="str">
        <f ca="1">IF(COUNTIFS($A$2:$A$303,"PHYSICAL THERAPY",$H$2:$H$303,"&gt;2")=0,"",COUNTIFS($A$2:$A$303,"PHYSICAL THERAPY",$H$2:$H$303,"&gt;2"))</f>
        <v/>
      </c>
      <c r="O12" s="135" t="str">
        <f ca="1">IF(COUNTIFS($A$2:$A$303,"PHYSICAL THERAPY",$H$2:$H$303,"")=0,"",COUNTIFS($A$2:$A$303,"PHYSICAL THERAPY",$H$2:$H$303,""))</f>
        <v/>
      </c>
      <c r="P12" s="136" t="str">
        <f ca="1">IF(COUNTIFS($A$2:$A$300,"PHYSICAL THERAPY",$H$2:$H$300,"FN")=0,"",COUNTIFS($A$2:$A$300,"PHYSICAL THERAPY",$H$2:$H$300,"FN"))</f>
        <v/>
      </c>
    </row>
    <row r="13" spans="1:16" x14ac:dyDescent="0.3">
      <c r="A13" s="156" t="s">
        <v>249</v>
      </c>
      <c r="B13" s="156" t="s">
        <v>224</v>
      </c>
      <c r="C13" s="156" t="s">
        <v>258</v>
      </c>
      <c r="D13" s="156" t="s">
        <v>259</v>
      </c>
      <c r="E13" s="157">
        <v>46276.426388888904</v>
      </c>
      <c r="F13" s="157" t="s">
        <v>227</v>
      </c>
      <c r="G13" s="156" t="s">
        <v>237</v>
      </c>
      <c r="H13" s="133" t="str" cm="1">
        <f t="array" ref="H13">_xlfn.IFS($F13="","FN",$E13="","",$E13&lt;&gt;"",$F13-$E13)</f>
        <v>FN</v>
      </c>
      <c r="I13" s="142" t="s">
        <v>260</v>
      </c>
      <c r="J13" s="138" t="str">
        <f ca="1">IF((COUNTIF($A$2:$A$3000,"RADIOLOGY")-COUNTIFS($A$2:$A$3000,"RADIOLOGY",$G$2:$G$3000,"N/A"))=0,"",(COUNTIFS($A$2:$A$3000,"RADIOLOGY",$G$2:$G$3000,"yes"))/(COUNTIF($A$2:$A$3000,"RADIOLOGY")-COUNTIFS($A$2:$A$3000,"RADIOLOGY",$G$2:$G$3000,"N/A")))</f>
        <v/>
      </c>
      <c r="K13" s="134" t="str">
        <f ca="1">IF(COUNTIFS($A$2:$A$303,"RADIOLOGY",$H$2:$H$303,"0")=0,"",COUNTIFS($A$2:$A$303,"RADIOLOGY",$H$2:$H$303,"0"))</f>
        <v/>
      </c>
      <c r="L13" s="135" t="str">
        <f ca="1">IF(COUNTIFS($A$2:$A$303,"RADIOLOGY",$H$2:$H$303,"1")=0,"",COUNTIFS($A$2:$A$303,"RADIOLOGY",$H$2:$H$303,"1"))</f>
        <v/>
      </c>
      <c r="M13" s="135" t="str">
        <f ca="1">IF(COUNTIFS($A$2:$A$303,"RADIOLOGY",$H$2:$H$303,"2")=0,"",COUNTIFS($A$2:$A$303,"RADIOLOGY",$H$2:$H$303,"2"))</f>
        <v/>
      </c>
      <c r="N13" s="135" t="str">
        <f ca="1">IF(COUNTIFS($A$2:$A$303,"RADIOLOGY",$H$2:$H$303,"&gt;2")=0,"",COUNTIFS($A$2:$A$303,"RADIOLOGY",$H$2:$H$303,"&gt;2"))</f>
        <v/>
      </c>
      <c r="O13" s="135" t="str">
        <f ca="1">IF(COUNTIFS($A$2:$A$303,"RADIOLOGY",$H$2:$H$303,"")=0,"",COUNTIFS($A$2:$A$303,"RADIOLOGY",$H$2:$H$303,""))</f>
        <v/>
      </c>
      <c r="P13" s="136" t="str">
        <f ca="1">IF(COUNTIFS($A$2:$A$300,"RADIOLOGY",$H$2:$H$300,"FN")=0,"",COUNTIFS($A$2:$A$300,"RADIOLOGY",$H$2:$H$300,"FN"))</f>
        <v/>
      </c>
    </row>
    <row r="14" spans="1:16" x14ac:dyDescent="0.3">
      <c r="A14" s="156" t="s">
        <v>249</v>
      </c>
      <c r="B14" s="156" t="s">
        <v>224</v>
      </c>
      <c r="C14" s="156" t="s">
        <v>225</v>
      </c>
      <c r="D14" s="156" t="s">
        <v>261</v>
      </c>
      <c r="E14" s="157">
        <v>46280.347916666702</v>
      </c>
      <c r="F14" s="157">
        <v>46280.347916666702</v>
      </c>
      <c r="G14" s="156" t="s">
        <v>237</v>
      </c>
      <c r="H14" s="133" cm="1">
        <f t="array" ref="H14">_xlfn.IFS($F14="","FN",$E14="","",$E14&lt;&gt;"",$F14-$E14)</f>
        <v>0</v>
      </c>
      <c r="I14" s="142" t="s">
        <v>262</v>
      </c>
      <c r="J14" s="138" t="str">
        <f ca="1">IF((COUNTIF($A$2:$A$3000,"RESPIRATORY")-COUNTIFS($A$2:$A$3000,"RESPIRATORY",$G$2:$G$3000,"N/A"))=0,"",(COUNTIFS($A$2:$A$3000,"RESPIRATORY",$G$2:$G$3000,"yes"))/(COUNTIF($A$2:$A$3000,"RESPIRATORY")-COUNTIFS($A$2:$A$3000,"RESPIRATORY",$G$2:$G$3000,"N/A")))</f>
        <v/>
      </c>
      <c r="K14" s="134" t="str">
        <f ca="1">IF(COUNTIFS($A$2:$A$303,"RESPIRATORY",$H$2:$H$303,"0")=0,"",COUNTIFS($A$2:$A$303,"RESPIRATORY",$H$2:$H$303,"0"))</f>
        <v/>
      </c>
      <c r="L14" s="135" t="str">
        <f ca="1">IF(COUNTIFS($A$2:$A$303,"RESPIRATORY",$H$2:$H$303,"1")=0,"",COUNTIFS($A$2:$A$303,"RESPIRATORY",$H$2:$H$303,"1"))</f>
        <v/>
      </c>
      <c r="M14" s="135" t="str">
        <f ca="1">IF(COUNTIFS($A$2:$A$303,"RESPIRATORY",$H$2:$H$303,"2")=0,"",COUNTIFS($A$2:$A$303,"RESPIRATORY",$H$2:$H$303,"2"))</f>
        <v/>
      </c>
      <c r="N14" s="135" t="str">
        <f ca="1">IF(COUNTIFS($A$2:$A$303,"RESPIRATORY",$H$2:$H$303,"&gt;2")=0,"",COUNTIFS($A$2:$A$303,"RESPIRATORY",$H$2:$H$303,"&gt;2"))</f>
        <v/>
      </c>
      <c r="O14" s="135" t="str">
        <f ca="1">IF(COUNTIFS($A$2:$A$303,"RESPIRATORY",$H$2:$H$303,"")=0,"",COUNTIFS($A$2:$A$303,"RESPIRATORY",$H$2:$H$303,""))</f>
        <v/>
      </c>
      <c r="P14" s="136" t="str">
        <f ca="1">IF(COUNTIFS($A$2:$A$300,"RESPIRATORY",$H$2:$H$300,"FN")=0,"",COUNTIFS($A$2:$A$300,"RESPIRATORY",$H$2:$H$300,"FN"))</f>
        <v/>
      </c>
    </row>
    <row r="15" spans="1:16" ht="15" thickBot="1" x14ac:dyDescent="0.35">
      <c r="A15" s="156" t="s">
        <v>249</v>
      </c>
      <c r="B15" s="156" t="s">
        <v>224</v>
      </c>
      <c r="C15" s="156" t="s">
        <v>225</v>
      </c>
      <c r="D15" s="156" t="s">
        <v>263</v>
      </c>
      <c r="E15" s="157">
        <v>46282.4555555556</v>
      </c>
      <c r="F15" s="157" t="s">
        <v>227</v>
      </c>
      <c r="G15" s="156" t="s">
        <v>237</v>
      </c>
      <c r="H15" s="133" t="str" cm="1">
        <f t="array" ref="H15">_xlfn.IFS($F15="","FN",$E15="","",$E15&lt;&gt;"",$F15-$E15)</f>
        <v>FN</v>
      </c>
      <c r="I15" s="143" t="s">
        <v>264</v>
      </c>
      <c r="J15" s="144" t="str">
        <f ca="1">IF((COUNTIF($A$2:$A$3000,"SURGERY")-COUNTIFS($A$2:$A$3000,"SURGERY",$G$2:$G$3000,"N/A"))=0,"",(COUNTIFS($A$2:$A$3000,"SURGERY",$G$2:$G$3000,"yes"))/(COUNTIF($A$2:$A$3000,"SURGERY")-COUNTIFS($A$2:$A$3000,"SURGERY",$G$2:$G$3000,"N/A")))</f>
        <v/>
      </c>
      <c r="K15" s="145" t="str">
        <f ca="1">IF(COUNTIFS($A$2:$A$303,"SURGERY",$H$2:$H$303,"0")=0,"",COUNTIFS($A$2:$A$303,"SURGERY",$H$2:$H$303,"0"))</f>
        <v/>
      </c>
      <c r="L15" s="146" t="str">
        <f ca="1">IF(COUNTIFS($A$2:$A$303,"SURGERY",$H$2:$H$303,"1")=0,"",COUNTIFS($A$2:$A$303,"SURGERY",$H$2:$H$303,"1"))</f>
        <v/>
      </c>
      <c r="M15" s="146" t="str">
        <f ca="1">IF(COUNTIFS($A$2:$A$303,"SURGERY",$H$2:$H$303,"2")=0,"",COUNTIFS($A$2:$A$303,"SURGERY",$H$2:$H$303,"2"))</f>
        <v/>
      </c>
      <c r="N15" s="146" t="str">
        <f ca="1">IF(COUNTIFS($A$2:$A$303,"SURGERY",$H$2:$H$303,"&gt;2")=0,"",COUNTIFS($A$2:$A$303,"SURGERY",$H$2:$H$303,"&gt;2"))</f>
        <v/>
      </c>
      <c r="O15" s="146" t="str">
        <f ca="1">IF(COUNTIFS($A$2:$A$303,"SURGERY",$H$2:$H$303,"")=0,"",COUNTIFS($A$2:$A$303,"SURGERY",$H$2:$H$303,""))</f>
        <v/>
      </c>
      <c r="P15" s="147" t="str">
        <f ca="1">IF(COUNTIFS($A$2:$A$300,"SURGERY",$H$2:$H$300,"FN")=0,"",COUNTIFS($A$2:$A$300,"SURGERY",$H$2:$H$300,"FN"))</f>
        <v/>
      </c>
    </row>
    <row r="16" spans="1:16" ht="15" thickBot="1" x14ac:dyDescent="0.35">
      <c r="A16" s="156" t="s">
        <v>249</v>
      </c>
      <c r="B16" s="156" t="s">
        <v>224</v>
      </c>
      <c r="C16" s="156" t="s">
        <v>265</v>
      </c>
      <c r="D16" s="156" t="s">
        <v>266</v>
      </c>
      <c r="E16" s="157">
        <v>46282.625694444403</v>
      </c>
      <c r="F16" s="157" t="s">
        <v>227</v>
      </c>
      <c r="G16" s="156" t="s">
        <v>237</v>
      </c>
      <c r="H16" s="133" t="str" cm="1">
        <f t="array" ref="H16">_xlfn.IFS($F16="","FN",$E16="","",$E16&lt;&gt;"",$F16-$E16)</f>
        <v>FN</v>
      </c>
      <c r="I16" s="148" t="s">
        <v>267</v>
      </c>
      <c r="J16" s="149">
        <f ca="1">(COUNTIF($G$2:$G$3002,"YES"))/(COUNTA($G$2:$G$3002)-COUNTIF($G$2:$G$3002,"N/A"))</f>
        <v>0.625</v>
      </c>
    </row>
    <row r="17" spans="1:8" x14ac:dyDescent="0.3">
      <c r="A17" s="156" t="s">
        <v>253</v>
      </c>
      <c r="B17" s="156" t="s">
        <v>224</v>
      </c>
      <c r="C17" s="156" t="s">
        <v>268</v>
      </c>
      <c r="D17" s="156" t="s">
        <v>269</v>
      </c>
      <c r="E17" s="157">
        <v>46287.517361111102</v>
      </c>
      <c r="F17" s="157">
        <v>46287.517361111102</v>
      </c>
      <c r="G17" s="156" t="s">
        <v>237</v>
      </c>
      <c r="H17" s="133" cm="1">
        <f t="array" ref="H17">_xlfn.IFS($F17="","FN",$E17="","",$E17&lt;&gt;"",$F17-$E17)</f>
        <v>0</v>
      </c>
    </row>
    <row r="18" spans="1:8" ht="15" thickBot="1" x14ac:dyDescent="0.35">
      <c r="H18" s="133" t="str" cm="1">
        <f t="array" ref="H18">_xlfn.IFS($F18="","FN",$E18="","",$E18&lt;&gt;"",$F18-$E18)</f>
        <v>FN</v>
      </c>
    </row>
    <row r="19" spans="1:8" x14ac:dyDescent="0.3">
      <c r="A19" s="168" t="s">
        <v>221</v>
      </c>
      <c r="B19" s="169"/>
      <c r="C19" s="168" t="s">
        <v>222</v>
      </c>
      <c r="D19" s="170"/>
      <c r="E19" s="170"/>
      <c r="F19" s="170"/>
      <c r="G19" s="170"/>
      <c r="H19" s="169"/>
    </row>
    <row r="20" spans="1:8" x14ac:dyDescent="0.3">
      <c r="A20" s="166" t="s">
        <v>229</v>
      </c>
      <c r="B20" s="167"/>
      <c r="C20" s="151" t="s">
        <v>230</v>
      </c>
      <c r="D20" s="152" t="s">
        <v>231</v>
      </c>
      <c r="E20" s="153" t="s">
        <v>232</v>
      </c>
      <c r="F20" s="150" t="s">
        <v>233</v>
      </c>
      <c r="G20" s="154" t="s">
        <v>234</v>
      </c>
      <c r="H20" s="155" t="s">
        <v>235</v>
      </c>
    </row>
    <row r="21" spans="1:8" x14ac:dyDescent="0.3">
      <c r="A21" s="137" t="s">
        <v>223</v>
      </c>
      <c r="B21" s="138">
        <f ca="1">IF((COUNTIF($A$2:$A$3000,"2 WEST")-COUNTIFS($A$2:$A$3000,"2 WEST",$G$2:$G$3000,"N/A"))=0,"",(COUNTIFS($A$2:$A$3000,"2 WEST",$G$2:$G$3000,"yes"))/(COUNTIF($A$2:$A$3000,"2 WEST")-COUNTIFS($A$2:$A$3000,"2 WEST",$G$2:$G$3000,"N/A")))</f>
        <v>0.66666666666666663</v>
      </c>
      <c r="C21" s="139">
        <f ca="1">IF(COUNTIFS($A$2:$A$303,"2 WEST",$H$2:$H$303,"0")=0,"",COUNTIFS($A$2:$A$303,"2 WEST",$H$2:$H$303,"0"))</f>
        <v>1</v>
      </c>
      <c r="D21" s="140" t="str">
        <f ca="1">IF(COUNTIFS($A$2:$A$303,"2 WEST",$H$2:$H$303,"1")=0,"",COUNTIFS($A$2:$A$303,"2 WEST",$H$2:$H$303,"1"))</f>
        <v/>
      </c>
      <c r="E21" s="140" t="str">
        <f ca="1">IF(COUNTIFS($A$2:$A$303,"2 WEST",$H$2:$H$303,"2")=0,"",COUNTIFS($A$2:$A$303,"2 WEST",$H$2:$H$303,"2"))</f>
        <v/>
      </c>
      <c r="F21" s="140">
        <f ca="1">IF(COUNTIFS($A$2:$A$303,"2 WEST",$H$2:$H$303,"&gt;2")=0,"",COUNTIFS($A$2:$A$303,"2 WEST",$H$2:$H$303,"&gt;2"))</f>
        <v>1</v>
      </c>
      <c r="G21" s="140">
        <f ca="1">IF(COUNTIFS($A$2:$A$303,"2 WEST",$H$2:$H$303,"")=0,"",COUNTIFS($A$2:$A$303,"2 WEST",$H$2:$H$303,""))</f>
        <v>2</v>
      </c>
      <c r="H21" s="141">
        <f ca="1">IF(COUNTIFS($A$2:$A$300,"2 WEST",$H$2:$H$300,"FN")=0,"",COUNTIFS($A$2:$A$300,"2 WEST",$H$2:$H$300,"FN"))</f>
        <v>2</v>
      </c>
    </row>
    <row r="22" spans="1:8" x14ac:dyDescent="0.3">
      <c r="A22" s="142" t="s">
        <v>239</v>
      </c>
      <c r="B22" s="138" t="str">
        <f ca="1">IF((COUNTIF($A$2:$A$3000,"3 WEST")-COUNTIFS($A$2:$A$3000,"3 WEST",$G$2:$G$3000,"N/A"))=0,"",(COUNTIFS($A$2:$A$3000,"3 WEST",$G$2:$G$3000,"yes"))/(COUNTIF($A$2:$A$3000,"3 WEST")-COUNTIFS($A$2:$A$3000,"3 WEST",$G$2:$G$3000,"N/A")))</f>
        <v/>
      </c>
      <c r="C22" s="134" t="str">
        <f ca="1">IF(COUNTIFS($A$2:$A$303,"3 WEST",$H$2:$H$303,"0")=0,"",COUNTIFS($A$2:$A$303,"3 WEST",$H$2:$H$303,"0"))</f>
        <v/>
      </c>
      <c r="D22" s="135" t="str">
        <f ca="1">IF(COUNTIFS($A$2:$A$303,"3 WEST",$H$2:$H$303,"1")=0,"",COUNTIFS($A$2:$A$303,"3 WEST",$H$2:$H$303,"1"))</f>
        <v/>
      </c>
      <c r="E22" s="135" t="str">
        <f ca="1">IF(COUNTIFS($A$2:$A$303,"3 WEST",$H$2:$H$303,"2")=0,"",COUNTIFS($A$2:$A$303,"3 WEST",$H$2:$H$303,"2"))</f>
        <v/>
      </c>
      <c r="F22" s="135" t="str">
        <f ca="1">IF(COUNTIFS($A$2:$A$303,"3 WEST",$H$2:$H$303,"&gt;2")=0,"",COUNTIFS($A$2:$A$303,"3 WEST",$H$2:$H$303,"&gt;2"))</f>
        <v/>
      </c>
      <c r="G22" s="135" t="str">
        <f ca="1">IF(COUNTIFS($A$2:$A$303,"3 WEST",$H$2:$H$303,"")=0,"",COUNTIFS($A$2:$A$303,"3 WEST",$H$2:$H$303,""))</f>
        <v/>
      </c>
      <c r="H22" s="136" t="str">
        <f ca="1">IF(COUNTIFS($A$2:$A$300,"3 WEST",$H$2:$H$300,"FN")=0,"",COUNTIFS($A$2:$A$300,"3 WEST",$H$2:$H$300,"FN"))</f>
        <v/>
      </c>
    </row>
    <row r="23" spans="1:8" x14ac:dyDescent="0.3">
      <c r="A23" s="142" t="s">
        <v>241</v>
      </c>
      <c r="B23" s="138" t="str">
        <f ca="1">IF((COUNTIF($A$2:$A$3000,"CARDIOLOGY")-COUNTIFS($A$2:$A$3000,"CARDIOLOGY",$G$2:$G$3000,"N/A"))=0,"",(COUNTIFS($A$2:$A$3000,"CARDIOLOGY",$G$2:$G$3000,"yes"))/(COUNTIF($A$2:$A$3000,"CARDIOLOGY")-COUNTIFS($A$2:$A$3000,"CARDIOLOGY",$G$2:$G$3000,"N/A")))</f>
        <v/>
      </c>
      <c r="C23" s="134" t="str">
        <f ca="1">IF(COUNTIFS($A$2:$A$303,"CARDIOLOGY",$H$2:$H$303,"0")=0,"",COUNTIFS($A$2:$A$303,"CARDIOLOGY",$H$2:$H$303,"0"))</f>
        <v/>
      </c>
      <c r="D23" s="135" t="str">
        <f ca="1">IF(COUNTIFS($A$2:$A$303,"CARDIOLOGY",$H$2:$H$303,"1")=0,"",COUNTIFS($A$2:$A$303,"CARDIOLOGY",$H$2:$H$303,"1"))</f>
        <v/>
      </c>
      <c r="E23" s="135" t="str">
        <f ca="1">IF(COUNTIFS($A$2:$A$303,"CARDIOLOGY",$H$2:$H$303,"2")=0,"",COUNTIFS($A$2:$A$303,"CARDIOLOGY",$H$2:$H$303,"2"))</f>
        <v/>
      </c>
      <c r="F23" s="135" t="str">
        <f ca="1">IF(COUNTIFS($A$2:$A$303,"CARDIOLOGY",$H$2:$H$303,"&gt;2")=0,"",COUNTIFS($A$2:$A$303,"CARDIOLOGY",$H$2:$H$303,"&gt;2"))</f>
        <v/>
      </c>
      <c r="G23" s="135" t="str">
        <f ca="1">IF(COUNTIFS($A$2:$A$303,"CARDIOLOGY",$H$2:$H$303,"")=0,"",COUNTIFS($A$2:$A$303,"CARDIOLOGY",$H$2:$H$303,""))</f>
        <v/>
      </c>
      <c r="H23" s="136" t="str">
        <f ca="1">IF(COUNTIFS($A$2:$A$300,"CARDIOLOGY",$H$2:$H$300,"FN")=0,"",COUNTIFS($A$2:$A$300,"CARDIOLOGY",$H$2:$H$300,"FN"))</f>
        <v/>
      </c>
    </row>
    <row r="24" spans="1:8" x14ac:dyDescent="0.3">
      <c r="A24" s="142" t="s">
        <v>243</v>
      </c>
      <c r="B24" s="138">
        <f ca="1">IF((COUNTIF($A$2:$A$3000,"EMERGENCY")-COUNTIFS($A$2:$A$3000,"EMERGENCY",$G$2:$G$3000,"N/A"))=0,"",(COUNTIFS($A$2:$A$3000,"EMERGENCY",$G$2:$G$3000,"yes"))/(COUNTIF($A$2:$A$3000,"EMERGENCY")-COUNTIFS($A$2:$A$3000,"EMERGENCY",$G$2:$G$3000,"N/A")))</f>
        <v>0.2</v>
      </c>
      <c r="C24" s="134" t="str">
        <f ca="1">IF(COUNTIFS($A$2:$A$303,"EMERGENCY",$H$2:$H$303,"0")=0,"",COUNTIFS($A$2:$A$303,"EMERGENCY",$H$2:$H$303,"0"))</f>
        <v/>
      </c>
      <c r="D24" s="135" t="str">
        <f ca="1">IF(COUNTIFS($A$2:$A$303,"EMERGENCY",$H$2:$H$303,"1")=0,"",COUNTIFS($A$2:$A$303,"EMERGENCY",$H$2:$H$303,"1"))</f>
        <v/>
      </c>
      <c r="E24" s="135" t="str">
        <f ca="1">IF(COUNTIFS($A$2:$A$303,"EMERGENCY",$H$2:$H$303,"2")=0,"",COUNTIFS($A$2:$A$303,"EMERGENCY",$H$2:$H$303,"2"))</f>
        <v/>
      </c>
      <c r="F24" s="135" t="str">
        <f ca="1">IF(COUNTIFS($A$2:$A$303,"EMERGENCY",$H$2:$H$303,"&gt;2")=0,"",COUNTIFS($A$2:$A$303,"EMERGENCY",$H$2:$H$303,"&gt;2"))</f>
        <v/>
      </c>
      <c r="G24" s="135">
        <f ca="1">IF(COUNTIFS($A$2:$A$303,"EMERGENCY",$H$2:$H$303,"")=0,"",COUNTIFS($A$2:$A$303,"EMERGENCY",$H$2:$H$303,""))</f>
        <v>3</v>
      </c>
      <c r="H24" s="136">
        <f ca="1">IF(COUNTIFS($A$2:$A$300,"EMERGENCY",$H$2:$H$300,"FN")=0,"",COUNTIFS($A$2:$A$300,"EMERGENCY",$H$2:$H$300,"FN"))</f>
        <v>2</v>
      </c>
    </row>
    <row r="25" spans="1:8" x14ac:dyDescent="0.3">
      <c r="A25" s="142" t="s">
        <v>246</v>
      </c>
      <c r="B25" s="138" t="str">
        <f ca="1">IF((COUNTIF($A$2:$A$3000,"ENDOSCOPY")-COUNTIFS($A$2:$A$3000,"ENDOSCOPY",$G$2:$G$3000,"N/A"))=0,"",(COUNTIFS($A$2:$A$3000,"ENDOSCOPY",$G$2:$G$3000,"yes"))/(COUNTIF($A$2:$A$3000,"ENDOSCOPY")-COUNTIFS($A$2:$A$3000,"ENDOSCOPY",$G$2:$G$3000,"N/A")))</f>
        <v/>
      </c>
      <c r="C25" s="134" t="str">
        <f ca="1">IF(COUNTIFS($A$2:$A$303,"ENDOSCOPY",$H$2:$H$303,"0")=0,"",COUNTIFS($A$2:$A$303,"ENDOSCOPY",$H$2:$H$303,"0"))</f>
        <v/>
      </c>
      <c r="D25" s="135" t="str">
        <f ca="1">IF(COUNTIFS($A$2:$A$303,"ENDOSCOPY",$H$2:$H$303,"1")=0,"",COUNTIFS($A$2:$A$303,"ENDOSCOPY",$H$2:$H$303,"1"))</f>
        <v/>
      </c>
      <c r="E25" s="135" t="str">
        <f ca="1">IF(COUNTIFS($A$2:$A$303,"ENDOSCOPY",$H$2:$H$303,"2")=0,"",COUNTIFS($A$2:$A$303,"ENDOSCOPY",$H$2:$H$303,"2"))</f>
        <v/>
      </c>
      <c r="F25" s="135" t="str">
        <f ca="1">IF(COUNTIFS($A$2:$A$303,"ENDOSCOPY",$H$2:$H$303,"&gt;2")=0,"",COUNTIFS($A$2:$A$303,"ENDOSCOPY",$H$2:$H$303,"&gt;2"))</f>
        <v/>
      </c>
      <c r="G25" s="135" t="str">
        <f ca="1">IF(COUNTIFS($A$2:$A$303,"ENDOSCOPY",$H$2:$H$303,"")=0,"",COUNTIFS($A$2:$A$303,"ENDOSCOPY",$H$2:$H$303,""))</f>
        <v/>
      </c>
      <c r="H25" s="136" t="str">
        <f ca="1">IF(COUNTIFS($A$2:$A$300,"ENDOSCOPY",$H$2:$H$300,"FN")=0,"",COUNTIFS($A$2:$A$300,"ENDOSCOPY",$H$2:$H$300,"FN"))</f>
        <v/>
      </c>
    </row>
    <row r="26" spans="1:8" x14ac:dyDescent="0.3">
      <c r="A26" s="142" t="s">
        <v>249</v>
      </c>
      <c r="B26" s="138">
        <f ca="1">IF((COUNTIF($A$2:$A$3000,"ICU")-COUNTIFS($A$2:$A$3000,"ICU",$G$2:$G$3000,"N/A"))=0,"",(COUNTIFS($A$2:$A$3000,"ICU",$G$2:$G$3000,"yes"))/(COUNTIF($A$2:$A$3000,"ICU")-COUNTIFS($A$2:$A$3000,"ICU",$G$2:$G$3000,"N/A")))</f>
        <v>1</v>
      </c>
      <c r="C26" s="134">
        <f ca="1">IF(COUNTIFS($A$2:$A$303,"ICU",$H$2:$H$303,"0")=0,"",COUNTIFS($A$2:$A$303,"ICU",$H$2:$H$303,"0"))</f>
        <v>1</v>
      </c>
      <c r="D26" s="135" t="str">
        <f ca="1">IF(COUNTIFS($A$2:$A$303,"ICU",$H$2:$H$303,"1")=0,"",COUNTIFS($A$2:$A$303,"ICU",$H$2:$H$303,"1"))</f>
        <v/>
      </c>
      <c r="E26" s="135" t="str">
        <f ca="1">IF(COUNTIFS($A$2:$A$303,"ICU",$H$2:$H$303,"2")=0,"",COUNTIFS($A$2:$A$303,"ICU",$H$2:$H$303,"2"))</f>
        <v/>
      </c>
      <c r="F26" s="135" t="str">
        <f ca="1">IF(COUNTIFS($A$2:$A$303,"ICU",$H$2:$H$303,"&gt;2")=0,"",COUNTIFS($A$2:$A$303,"ICU",$H$2:$H$303,"&gt;2"))</f>
        <v/>
      </c>
      <c r="G26" s="135" t="str">
        <f ca="1">IF(COUNTIFS($A$2:$A$303,"ICU",$H$2:$H$303,"")=0,"",COUNTIFS($A$2:$A$303,"ICU",$H$2:$H$303,""))</f>
        <v/>
      </c>
      <c r="H26" s="136">
        <f ca="1">IF(COUNTIFS($A$2:$A$300,"ICU",$H$2:$H$300,"FN")=0,"",COUNTIFS($A$2:$A$300,"ICU",$H$2:$H$300,"FN"))</f>
        <v>3</v>
      </c>
    </row>
    <row r="27" spans="1:8" x14ac:dyDescent="0.3">
      <c r="A27" s="142" t="s">
        <v>251</v>
      </c>
      <c r="B27" s="138" t="str">
        <f ca="1">IF((COUNTIF($A$2:$A$3000,"LAB")-COUNTIFS($A$2:$A$3000,"LAB",$G$2:$G$3000,"N/A"))=0,"",(COUNTIFS($A$2:$A$3000,"LAB",$G$2:$G$3000,"yes"))/(COUNTIF($A$2:$A$3000,"LAB")-COUNTIFS($A$2:$A$3000,"LAB",$G$2:$G$3000,"N/A")))</f>
        <v/>
      </c>
      <c r="C27" s="134" t="str">
        <f ca="1">IF(COUNTIFS($A$2:$A$303,"LAB",$H$2:$H$303,"0")=0,"",COUNTIFS($A$2:$A$303,"LAB",$H$2:$H$303,"0"))</f>
        <v/>
      </c>
      <c r="D27" s="135" t="str">
        <f ca="1">IF(COUNTIFS($A$2:$A$303,"LAB",$H$2:$H$303,"1")=0,"",COUNTIFS($A$2:$A$303,"LAB",$H$2:$H$303,"1"))</f>
        <v/>
      </c>
      <c r="E27" s="135" t="str">
        <f ca="1">IF(COUNTIFS($A$2:$A$303,"LAB",$H$2:$H$303,"2")=0,"",COUNTIFS($A$2:$A$303,"LAB",$H$2:$H$303,"2"))</f>
        <v/>
      </c>
      <c r="F27" s="135" t="str">
        <f ca="1">IF(COUNTIFS($A$2:$A$303,"LAB",$H$2:$H$303,"&gt;2")=0,"",COUNTIFS($A$2:$A$303,"LAB",$H$2:$H$303,"&gt;2"))</f>
        <v/>
      </c>
      <c r="G27" s="135" t="str">
        <f ca="1">IF(COUNTIFS($A$2:$A$303,"LAB",$H$2:$H$303,"")=0,"",COUNTIFS($A$2:$A$303,"LAB",$H$2:$H$303,""))</f>
        <v/>
      </c>
      <c r="H27" s="136" t="str">
        <f ca="1">IF(COUNTIFS($A$2:$A$300,"LAB",$H$2:$H$300,"FN")=0,"",COUNTIFS($A$2:$A$300,"LAB",$H$2:$H$300,"FN"))</f>
        <v/>
      </c>
    </row>
    <row r="28" spans="1:8" x14ac:dyDescent="0.3">
      <c r="A28" s="142" t="s">
        <v>253</v>
      </c>
      <c r="B28" s="138">
        <f ca="1">IF((COUNTIF($A$2:$A$3000,"PACU")-COUNTIFS($A$2:$A$3000,"PACU",$G$2:$G$3000,"N/A"))=0,"",(COUNTIFS($A$2:$A$3000,"PACU",$G$2:$G$3000,"yes"))/(COUNTIF($A$2:$A$3000,"PACU")-COUNTIFS($A$2:$A$3000,"PACU",$G$2:$G$3000,"N/A")))</f>
        <v>1</v>
      </c>
      <c r="C28" s="134">
        <f ca="1">IF(COUNTIFS($A$2:$A$303,"PACU",$H$2:$H$303,"0")=0,"",COUNTIFS($A$2:$A$303,"PACU",$H$2:$H$303,"0"))</f>
        <v>1</v>
      </c>
      <c r="D28" s="135" t="str">
        <f ca="1">IF(COUNTIFS($A$2:$A$303,"PACU",$H$2:$H$303,"1")=0,"",COUNTIFS($A$2:$A$303,"PACU",$H$2:$H$303,"1"))</f>
        <v/>
      </c>
      <c r="E28" s="135" t="str">
        <f ca="1">IF(COUNTIFS($A$2:$A$303,"PACU",$H$2:$H$303,"2")=0,"",COUNTIFS($A$2:$A$303,"PACU",$H$2:$H$303,"2"))</f>
        <v/>
      </c>
      <c r="F28" s="135" t="str">
        <f ca="1">IF(COUNTIFS($A$2:$A$303,"PACU",$H$2:$H$303,"&gt;2")=0,"",COUNTIFS($A$2:$A$303,"PACU",$H$2:$H$303,"&gt;2"))</f>
        <v/>
      </c>
      <c r="G28" s="135" t="str">
        <f ca="1">IF(COUNTIFS($A$2:$A$303,"PACU",$H$2:$H$303,"")=0,"",COUNTIFS($A$2:$A$303,"PACU",$H$2:$H$303,""))</f>
        <v/>
      </c>
      <c r="H28" s="136" t="str">
        <f ca="1">IF(COUNTIFS($A$2:$A$300,"PACU",$H$2:$H$300,"FN")=0,"",COUNTIFS($A$2:$A$300,"PACU",$H$2:$H$300,"FN"))</f>
        <v/>
      </c>
    </row>
    <row r="29" spans="1:8" x14ac:dyDescent="0.3">
      <c r="A29" s="142" t="s">
        <v>255</v>
      </c>
      <c r="B29" s="138" t="str">
        <f ca="1">IF((COUNTIF($A$2:$A$3000,"PAIN MEDICINE")-COUNTIFS($A$2:$A$3000,"PAIN MEDICINE",$G$2:$G$3000,"N/A"))=0,"",(COUNTIFS($A$2:$A$3000,"PAIN MEDICINE",$G$2:$G$3000,"yes"))/(COUNTIF($A$2:$A$3000,"PAIN MEDICINE")-COUNTIFS($A$2:$A$3000,"PAIN MEDICINE",$G$2:$G$3000,"N/A")))</f>
        <v/>
      </c>
      <c r="C29" s="134" t="str">
        <f ca="1">IF(COUNTIFS($A$2:$A$303,"PAIN MEDICINE",$H$2:$H$303,"0")=0,"",COUNTIFS($A$2:$A$303,"PAIN MEDICINE",$H$2:$H$303,"0"))</f>
        <v/>
      </c>
      <c r="D29" s="135" t="str">
        <f ca="1">IF(COUNTIFS($A$2:$A$303,"PAIN MEDICINE",$H$2:$H$303,"1")=0,"",COUNTIFS($A$2:$A$303,"PAIN MEDICINE",$H$2:$H$303,"1"))</f>
        <v/>
      </c>
      <c r="E29" s="135" t="str">
        <f ca="1">IF(COUNTIFS($A$2:$A$303,"PAIN MEDICINE",$H$2:$H$303,"2")=0,"",COUNTIFS($A$2:$A$303,"PAIN MEDICINE",$H$2:$H$303,"2"))</f>
        <v/>
      </c>
      <c r="F29" s="135" t="str">
        <f ca="1">IF(COUNTIFS($A$2:$A$303,"PAIN MEDICINE",$H$2:$H$303,"&gt;2")=0,"",COUNTIFS($A$2:$A$303,"PAIN MEDICINE",$H$2:$H$303,"&gt;2"))</f>
        <v/>
      </c>
      <c r="G29" s="135" t="str">
        <f ca="1">IF(COUNTIFS($A$2:$A$303,"PAIN MEDICINE",$H$2:$H$303,"")=0,"",COUNTIFS($A$2:$A$303,"PAIN MEDICINE",$H$2:$H$303,""))</f>
        <v/>
      </c>
      <c r="H29" s="136" t="str">
        <f ca="1">IF(COUNTIFS($A$2:$A$300,"PAIN MEDICINE",$H$2:$H$300,"FN")=0,"",COUNTIFS($A$2:$A$300,"PAIN MEDICINE",$H$2:$H$300,"FN"))</f>
        <v/>
      </c>
    </row>
    <row r="30" spans="1:8" x14ac:dyDescent="0.3">
      <c r="A30" s="142" t="s">
        <v>257</v>
      </c>
      <c r="B30" s="138" t="str">
        <f ca="1">IF((COUNTIF($A$2:$A$3000,"PHYSICAL THERAPY")-COUNTIFS($A$2:$A$3000,"PHYSICAL THERAPY",$G$2:$G$3000,"N/A"))=0,"",(COUNTIFS($A$2:$A$3000,"PHYSICAL THERAPY",$G$2:$G$3000,"yes"))/(COUNTIF($A$2:$A$3000,"PHYSICAL THERAPY")-COUNTIFS($A$2:$A$3000,"PHYSICAL THERAPY",$G$2:$G$3000,"N/A")))</f>
        <v/>
      </c>
      <c r="C30" s="134" t="str">
        <f ca="1">IF(COUNTIFS($A$2:$A$303,"PHYSICAL THERAPY",$H$2:$H$303,"0")=0,"",COUNTIFS($A$2:$A$303,"PHYSICAL THERAPY",$H$2:$H$303,"0"))</f>
        <v/>
      </c>
      <c r="D30" s="135" t="str">
        <f ca="1">IF(COUNTIFS($A$2:$A$303,"PHYSICAL THERAPY",$H$2:$H$303,"1")=0,"",COUNTIFS($A$2:$A$303,"PHYSICAL THERAPY",$H$2:$H$303,"1"))</f>
        <v/>
      </c>
      <c r="E30" s="135" t="str">
        <f ca="1">IF(COUNTIFS($A$2:$A$303,"PHYSICAL THERAPY",$H$2:$H$303,"2")=0,"",COUNTIFS($A$2:$A$303,"PHYSICAL THERAPY",$H$2:$H$303,"2"))</f>
        <v/>
      </c>
      <c r="F30" s="135" t="str">
        <f ca="1">IF(COUNTIFS($A$2:$A$303,"PHYSICAL THERAPY",$H$2:$H$303,"&gt;2")=0,"",COUNTIFS($A$2:$A$303,"PHYSICAL THERAPY",$H$2:$H$303,"&gt;2"))</f>
        <v/>
      </c>
      <c r="G30" s="135" t="str">
        <f ca="1">IF(COUNTIFS($A$2:$A$303,"PHYSICAL THERAPY",$H$2:$H$303,"")=0,"",COUNTIFS($A$2:$A$303,"PHYSICAL THERAPY",$H$2:$H$303,""))</f>
        <v/>
      </c>
      <c r="H30" s="136" t="str">
        <f ca="1">IF(COUNTIFS($A$2:$A$300,"PHYSICAL THERAPY",$H$2:$H$300,"FN")=0,"",COUNTIFS($A$2:$A$300,"PHYSICAL THERAPY",$H$2:$H$300,"FN"))</f>
        <v/>
      </c>
    </row>
    <row r="31" spans="1:8" x14ac:dyDescent="0.3">
      <c r="A31" s="142" t="s">
        <v>260</v>
      </c>
      <c r="B31" s="138" t="str">
        <f ca="1">IF((COUNTIF($A$2:$A$3000,"RADIOLOGY")-COUNTIFS($A$2:$A$3000,"RADIOLOGY",$G$2:$G$3000,"N/A"))=0,"",(COUNTIFS($A$2:$A$3000,"RADIOLOGY",$G$2:$G$3000,"yes"))/(COUNTIF($A$2:$A$3000,"RADIOLOGY")-COUNTIFS($A$2:$A$3000,"RADIOLOGY",$G$2:$G$3000,"N/A")))</f>
        <v/>
      </c>
      <c r="C31" s="134" t="str">
        <f ca="1">IF(COUNTIFS($A$2:$A$303,"RADIOLOGY",$H$2:$H$303,"0")=0,"",COUNTIFS($A$2:$A$303,"RADIOLOGY",$H$2:$H$303,"0"))</f>
        <v/>
      </c>
      <c r="D31" s="135" t="str">
        <f ca="1">IF(COUNTIFS($A$2:$A$303,"RADIOLOGY",$H$2:$H$303,"1")=0,"",COUNTIFS($A$2:$A$303,"RADIOLOGY",$H$2:$H$303,"1"))</f>
        <v/>
      </c>
      <c r="E31" s="135" t="str">
        <f ca="1">IF(COUNTIFS($A$2:$A$303,"RADIOLOGY",$H$2:$H$303,"2")=0,"",COUNTIFS($A$2:$A$303,"RADIOLOGY",$H$2:$H$303,"2"))</f>
        <v/>
      </c>
      <c r="F31" s="135" t="str">
        <f ca="1">IF(COUNTIFS($A$2:$A$303,"RADIOLOGY",$H$2:$H$303,"&gt;2")=0,"",COUNTIFS($A$2:$A$303,"RADIOLOGY",$H$2:$H$303,"&gt;2"))</f>
        <v/>
      </c>
      <c r="G31" s="135" t="str">
        <f ca="1">IF(COUNTIFS($A$2:$A$303,"RADIOLOGY",$H$2:$H$303,"")=0,"",COUNTIFS($A$2:$A$303,"RADIOLOGY",$H$2:$H$303,""))</f>
        <v/>
      </c>
      <c r="H31" s="136" t="str">
        <f ca="1">IF(COUNTIFS($A$2:$A$300,"RADIOLOGY",$H$2:$H$300,"FN")=0,"",COUNTIFS($A$2:$A$300,"RADIOLOGY",$H$2:$H$300,"FN"))</f>
        <v/>
      </c>
    </row>
    <row r="32" spans="1:8" x14ac:dyDescent="0.3">
      <c r="A32" s="142" t="s">
        <v>262</v>
      </c>
      <c r="B32" s="138" t="str">
        <f ca="1">IF((COUNTIF($A$2:$A$3000,"RESPIRATORY")-COUNTIFS($A$2:$A$3000,"RESPIRATORY",$G$2:$G$3000,"N/A"))=0,"",(COUNTIFS($A$2:$A$3000,"RESPIRATORY",$G$2:$G$3000,"yes"))/(COUNTIF($A$2:$A$3000,"RESPIRATORY")-COUNTIFS($A$2:$A$3000,"RESPIRATORY",$G$2:$G$3000,"N/A")))</f>
        <v/>
      </c>
      <c r="C32" s="134" t="str">
        <f ca="1">IF(COUNTIFS($A$2:$A$303,"RESPIRATORY",$H$2:$H$303,"0")=0,"",COUNTIFS($A$2:$A$303,"RESPIRATORY",$H$2:$H$303,"0"))</f>
        <v/>
      </c>
      <c r="D32" s="135" t="str">
        <f ca="1">IF(COUNTIFS($A$2:$A$303,"RESPIRATORY",$H$2:$H$303,"1")=0,"",COUNTIFS($A$2:$A$303,"RESPIRATORY",$H$2:$H$303,"1"))</f>
        <v/>
      </c>
      <c r="E32" s="135" t="str">
        <f ca="1">IF(COUNTIFS($A$2:$A$303,"RESPIRATORY",$H$2:$H$303,"2")=0,"",COUNTIFS($A$2:$A$303,"RESPIRATORY",$H$2:$H$303,"2"))</f>
        <v/>
      </c>
      <c r="F32" s="135" t="str">
        <f ca="1">IF(COUNTIFS($A$2:$A$303,"RESPIRATORY",$H$2:$H$303,"&gt;2")=0,"",COUNTIFS($A$2:$A$303,"RESPIRATORY",$H$2:$H$303,"&gt;2"))</f>
        <v/>
      </c>
      <c r="G32" s="135" t="str">
        <f ca="1">IF(COUNTIFS($A$2:$A$303,"RESPIRATORY",$H$2:$H$303,"")=0,"",COUNTIFS($A$2:$A$303,"RESPIRATORY",$H$2:$H$303,""))</f>
        <v/>
      </c>
      <c r="H32" s="136" t="str">
        <f ca="1">IF(COUNTIFS($A$2:$A$300,"RESPIRATORY",$H$2:$H$300,"FN")=0,"",COUNTIFS($A$2:$A$300,"RESPIRATORY",$H$2:$H$300,"FN"))</f>
        <v/>
      </c>
    </row>
    <row r="33" spans="1:8" ht="15" thickBot="1" x14ac:dyDescent="0.35">
      <c r="A33" s="143" t="s">
        <v>264</v>
      </c>
      <c r="B33" s="144" t="str">
        <f ca="1">IF((COUNTIF($A$2:$A$3000,"SURGERY")-COUNTIFS($A$2:$A$3000,"SURGERY",$G$2:$G$3000,"N/A"))=0,"",(COUNTIFS($A$2:$A$3000,"SURGERY",$G$2:$G$3000,"yes"))/(COUNTIF($A$2:$A$3000,"SURGERY")-COUNTIFS($A$2:$A$3000,"SURGERY",$G$2:$G$3000,"N/A")))</f>
        <v/>
      </c>
      <c r="C33" s="145" t="str">
        <f ca="1">IF(COUNTIFS($A$2:$A$303,"SURGERY",$H$2:$H$303,"0")=0,"",COUNTIFS($A$2:$A$303,"SURGERY",$H$2:$H$303,"0"))</f>
        <v/>
      </c>
      <c r="D33" s="146" t="str">
        <f ca="1">IF(COUNTIFS($A$2:$A$303,"SURGERY",$H$2:$H$303,"1")=0,"",COUNTIFS($A$2:$A$303,"SURGERY",$H$2:$H$303,"1"))</f>
        <v/>
      </c>
      <c r="E33" s="146" t="str">
        <f ca="1">IF(COUNTIFS($A$2:$A$303,"SURGERY",$H$2:$H$303,"2")=0,"",COUNTIFS($A$2:$A$303,"SURGERY",$H$2:$H$303,"2"))</f>
        <v/>
      </c>
      <c r="F33" s="146" t="str">
        <f ca="1">IF(COUNTIFS($A$2:$A$303,"SURGERY",$H$2:$H$303,"&gt;2")=0,"",COUNTIFS($A$2:$A$303,"SURGERY",$H$2:$H$303,"&gt;2"))</f>
        <v/>
      </c>
      <c r="G33" s="146" t="str">
        <f ca="1">IF(COUNTIFS($A$2:$A$303,"SURGERY",$H$2:$H$303,"")=0,"",COUNTIFS($A$2:$A$303,"SURGERY",$H$2:$H$303,""))</f>
        <v/>
      </c>
      <c r="H33" s="147" t="str">
        <f ca="1">IF(COUNTIFS($A$2:$A$300,"SURGERY",$H$2:$H$300,"FN")=0,"",COUNTIFS($A$2:$A$300,"SURGERY",$H$2:$H$300,"FN"))</f>
        <v/>
      </c>
    </row>
    <row r="34" spans="1:8" ht="15" thickBot="1" x14ac:dyDescent="0.35">
      <c r="A34" s="148" t="s">
        <v>267</v>
      </c>
      <c r="B34" s="149">
        <f ca="1">(COUNTIF($G$2:$G$3002,"YES"))/(COUNTA($G$2:$G$3002)-COUNTIF($G$2:$G$3002,"N/A"))</f>
        <v>0.625</v>
      </c>
      <c r="H34"/>
    </row>
    <row r="35" spans="1:8" x14ac:dyDescent="0.3">
      <c r="H35" s="133" t="str" cm="1">
        <f t="array" ref="H35">_xlfn.IFS($F35="","FN",$E35="","",$E35&lt;&gt;"",$F35-$E35)</f>
        <v>FN</v>
      </c>
    </row>
    <row r="36" spans="1:8" x14ac:dyDescent="0.3">
      <c r="H36" s="133" t="str" cm="1">
        <f t="array" ref="H36">_xlfn.IFS($F36="","FN",$E36="","",$E36&lt;&gt;"",$F36-$E36)</f>
        <v>FN</v>
      </c>
    </row>
    <row r="37" spans="1:8" x14ac:dyDescent="0.3">
      <c r="H37" s="133" t="str" cm="1">
        <f t="array" ref="H37">_xlfn.IFS($F37="","FN",$E37="","",$E37&lt;&gt;"",$F37-$E37)</f>
        <v>FN</v>
      </c>
    </row>
    <row r="38" spans="1:8" x14ac:dyDescent="0.3">
      <c r="H38" s="133" t="str" cm="1">
        <f t="array" ref="H38">_xlfn.IFS($F38="","FN",$E38="","",$E38&lt;&gt;"",$F38-$E38)</f>
        <v>FN</v>
      </c>
    </row>
    <row r="39" spans="1:8" x14ac:dyDescent="0.3">
      <c r="H39" s="133" t="str" cm="1">
        <f t="array" ref="H39">_xlfn.IFS($F39="","FN",$E39="","",$E39&lt;&gt;"",$F39-$E39)</f>
        <v>FN</v>
      </c>
    </row>
    <row r="40" spans="1:8" x14ac:dyDescent="0.3">
      <c r="H40" s="133" t="str" cm="1">
        <f t="array" ref="H40">_xlfn.IFS($F40="","FN",$E40="","",$E40&lt;&gt;"",$F40-$E40)</f>
        <v>FN</v>
      </c>
    </row>
    <row r="41" spans="1:8" x14ac:dyDescent="0.3">
      <c r="H41" s="133" t="str" cm="1">
        <f t="array" ref="H41">_xlfn.IFS($F41="","FN",$E41="","",$E41&lt;&gt;"",$F41-$E41)</f>
        <v>FN</v>
      </c>
    </row>
    <row r="42" spans="1:8" x14ac:dyDescent="0.3">
      <c r="H42" s="133" t="str" cm="1">
        <f t="array" ref="H42">_xlfn.IFS($F42="","FN",$E42="","",$E42&lt;&gt;"",$F42-$E42)</f>
        <v>FN</v>
      </c>
    </row>
    <row r="43" spans="1:8" x14ac:dyDescent="0.3">
      <c r="H43" s="133" t="str" cm="1">
        <f t="array" ref="H43">_xlfn.IFS($F43="","FN",$E43="","",$E43&lt;&gt;"",$F43-$E43)</f>
        <v>FN</v>
      </c>
    </row>
    <row r="44" spans="1:8" x14ac:dyDescent="0.3">
      <c r="H44" s="133" t="str" cm="1">
        <f t="array" ref="H44">_xlfn.IFS($F44="","FN",$E44="","",$E44&lt;&gt;"",$F44-$E44)</f>
        <v>FN</v>
      </c>
    </row>
    <row r="45" spans="1:8" x14ac:dyDescent="0.3">
      <c r="H45" s="133" t="str" cm="1">
        <f t="array" ref="H45">_xlfn.IFS($F45="","FN",$E45="","",$E45&lt;&gt;"",$F45-$E45)</f>
        <v>FN</v>
      </c>
    </row>
    <row r="46" spans="1:8" x14ac:dyDescent="0.3">
      <c r="H46" s="133" t="str" cm="1">
        <f t="array" ref="H46">_xlfn.IFS($F46="","FN",$E46="","",$E46&lt;&gt;"",$F46-$E46)</f>
        <v>FN</v>
      </c>
    </row>
    <row r="47" spans="1:8" x14ac:dyDescent="0.3">
      <c r="H47" s="133" t="str" cm="1">
        <f t="array" ref="H47">_xlfn.IFS($F47="","FN",$E47="","",$E47&lt;&gt;"",$F47-$E47)</f>
        <v>FN</v>
      </c>
    </row>
    <row r="48" spans="1:8" x14ac:dyDescent="0.3">
      <c r="H48" s="133" t="str" cm="1">
        <f t="array" ref="H48">_xlfn.IFS($F48="","FN",$E48="","",$E48&lt;&gt;"",$F48-$E48)</f>
        <v>FN</v>
      </c>
    </row>
    <row r="49" spans="8:8" x14ac:dyDescent="0.3">
      <c r="H49" s="133" t="str" cm="1">
        <f t="array" ref="H49">_xlfn.IFS($F49="","FN",$E49="","",$E49&lt;&gt;"",$F49-$E49)</f>
        <v>FN</v>
      </c>
    </row>
    <row r="50" spans="8:8" x14ac:dyDescent="0.3">
      <c r="H50" s="133" t="str" cm="1">
        <f t="array" ref="H50">_xlfn.IFS($F50="","FN",$E50="","",$E50&lt;&gt;"",$F50-$E50)</f>
        <v>FN</v>
      </c>
    </row>
    <row r="51" spans="8:8" x14ac:dyDescent="0.3">
      <c r="H51" s="133" t="str" cm="1">
        <f t="array" ref="H51">_xlfn.IFS($F51="","FN",$E51="","",$E51&lt;&gt;"",$F51-$E51)</f>
        <v>FN</v>
      </c>
    </row>
    <row r="52" spans="8:8" x14ac:dyDescent="0.3">
      <c r="H52" s="133" t="str" cm="1">
        <f t="array" ref="H52">_xlfn.IFS($F52="","FN",$E52="","",$E52&lt;&gt;"",$F52-$E52)</f>
        <v>FN</v>
      </c>
    </row>
    <row r="53" spans="8:8" x14ac:dyDescent="0.3">
      <c r="H53" s="133" t="str" cm="1">
        <f t="array" ref="H53">_xlfn.IFS($F53="","FN",$E53="","",$E53&lt;&gt;"",$F53-$E53)</f>
        <v>FN</v>
      </c>
    </row>
    <row r="54" spans="8:8" x14ac:dyDescent="0.3">
      <c r="H54" s="133" t="str" cm="1">
        <f t="array" ref="H54">_xlfn.IFS($F54="","FN",$E54="","",$E54&lt;&gt;"",$F54-$E54)</f>
        <v>FN</v>
      </c>
    </row>
    <row r="55" spans="8:8" x14ac:dyDescent="0.3">
      <c r="H55" s="133" t="str" cm="1">
        <f t="array" ref="H55">_xlfn.IFS($F55="","FN",$E55="","",$E55&lt;&gt;"",$F55-$E55)</f>
        <v>FN</v>
      </c>
    </row>
    <row r="56" spans="8:8" x14ac:dyDescent="0.3">
      <c r="H56" s="133" t="str" cm="1">
        <f t="array" ref="H56">_xlfn.IFS($F56="","FN",$E56="","",$E56&lt;&gt;"",$F56-$E56)</f>
        <v>FN</v>
      </c>
    </row>
    <row r="57" spans="8:8" x14ac:dyDescent="0.3">
      <c r="H57" s="133" t="str" cm="1">
        <f t="array" ref="H57">_xlfn.IFS($F57="","FN",$E57="","",$E57&lt;&gt;"",$F57-$E57)</f>
        <v>FN</v>
      </c>
    </row>
    <row r="58" spans="8:8" x14ac:dyDescent="0.3">
      <c r="H58" s="133" t="str" cm="1">
        <f t="array" ref="H58">_xlfn.IFS($F58="","FN",$E58="","",$E58&lt;&gt;"",$F58-$E58)</f>
        <v>FN</v>
      </c>
    </row>
    <row r="59" spans="8:8" x14ac:dyDescent="0.3">
      <c r="H59" s="133" t="str" cm="1">
        <f t="array" ref="H59">_xlfn.IFS($F59="","FN",$E59="","",$E59&lt;&gt;"",$F59-$E59)</f>
        <v>FN</v>
      </c>
    </row>
    <row r="60" spans="8:8" x14ac:dyDescent="0.3">
      <c r="H60" s="133" t="str" cm="1">
        <f t="array" ref="H60">_xlfn.IFS($F60="","FN",$E60="","",$E60&lt;&gt;"",$F60-$E60)</f>
        <v>FN</v>
      </c>
    </row>
    <row r="61" spans="8:8" x14ac:dyDescent="0.3">
      <c r="H61" s="133" t="str" cm="1">
        <f t="array" ref="H61">_xlfn.IFS($F61="","FN",$E61="","",$E61&lt;&gt;"",$F61-$E61)</f>
        <v>FN</v>
      </c>
    </row>
    <row r="62" spans="8:8" x14ac:dyDescent="0.3">
      <c r="H62" s="133" t="str" cm="1">
        <f t="array" ref="H62">_xlfn.IFS($F62="","FN",$E62="","",$E62&lt;&gt;"",$F62-$E62)</f>
        <v>FN</v>
      </c>
    </row>
    <row r="63" spans="8:8" x14ac:dyDescent="0.3">
      <c r="H63" s="133" t="str" cm="1">
        <f t="array" ref="H63">_xlfn.IFS($F63="","FN",$E63="","",$E63&lt;&gt;"",$F63-$E63)</f>
        <v>FN</v>
      </c>
    </row>
    <row r="64" spans="8:8" x14ac:dyDescent="0.3">
      <c r="H64" s="133" t="str" cm="1">
        <f t="array" ref="H64">_xlfn.IFS($F64="","FN",$E64="","",$E64&lt;&gt;"",$F64-$E64)</f>
        <v>FN</v>
      </c>
    </row>
    <row r="65" spans="8:8" x14ac:dyDescent="0.3">
      <c r="H65" s="133" t="str" cm="1">
        <f t="array" ref="H65">_xlfn.IFS($F65="","FN",$E65="","",$E65&lt;&gt;"",$F65-$E65)</f>
        <v>FN</v>
      </c>
    </row>
    <row r="66" spans="8:8" x14ac:dyDescent="0.3">
      <c r="H66" s="133" t="str" cm="1">
        <f t="array" ref="H66">_xlfn.IFS($F66="","FN",$E66="","",$E66&lt;&gt;"",$F66-$E66)</f>
        <v>FN</v>
      </c>
    </row>
    <row r="67" spans="8:8" x14ac:dyDescent="0.3">
      <c r="H67" s="133" t="str" cm="1">
        <f t="array" ref="H67">_xlfn.IFS($F67="","FN",$E67="","",$E67&lt;&gt;"",$F67-$E67)</f>
        <v>FN</v>
      </c>
    </row>
    <row r="68" spans="8:8" x14ac:dyDescent="0.3">
      <c r="H68" s="133" t="str" cm="1">
        <f t="array" ref="H68">_xlfn.IFS($F68="","FN",$E68="","",$E68&lt;&gt;"",$F68-$E68)</f>
        <v>FN</v>
      </c>
    </row>
    <row r="69" spans="8:8" x14ac:dyDescent="0.3">
      <c r="H69" s="133" t="str" cm="1">
        <f t="array" ref="H69">_xlfn.IFS($F69="","FN",$E69="","",$E69&lt;&gt;"",$F69-$E69)</f>
        <v>FN</v>
      </c>
    </row>
    <row r="70" spans="8:8" x14ac:dyDescent="0.3">
      <c r="H70" s="133" t="str" cm="1">
        <f t="array" ref="H70">_xlfn.IFS($F70="","FN",$E70="","",$E70&lt;&gt;"",$F70-$E70)</f>
        <v>FN</v>
      </c>
    </row>
    <row r="71" spans="8:8" x14ac:dyDescent="0.3">
      <c r="H71" s="133" t="str" cm="1">
        <f t="array" ref="H71">_xlfn.IFS($F71="","FN",$E71="","",$E71&lt;&gt;"",$F71-$E71)</f>
        <v>FN</v>
      </c>
    </row>
    <row r="72" spans="8:8" x14ac:dyDescent="0.3">
      <c r="H72" s="133" t="str" cm="1">
        <f t="array" ref="H72">_xlfn.IFS($F72="","FN",$E72="","",$E72&lt;&gt;"",$F72-$E72)</f>
        <v>FN</v>
      </c>
    </row>
    <row r="73" spans="8:8" x14ac:dyDescent="0.3">
      <c r="H73" s="133" t="str" cm="1">
        <f t="array" ref="H73">_xlfn.IFS($F73="","FN",$E73="","",$E73&lt;&gt;"",$F73-$E73)</f>
        <v>FN</v>
      </c>
    </row>
    <row r="74" spans="8:8" x14ac:dyDescent="0.3">
      <c r="H74" s="133" t="str" cm="1">
        <f t="array" ref="H74">_xlfn.IFS($F74="","FN",$E74="","",$E74&lt;&gt;"",$F74-$E74)</f>
        <v>FN</v>
      </c>
    </row>
    <row r="75" spans="8:8" x14ac:dyDescent="0.3">
      <c r="H75" s="133" t="str" cm="1">
        <f t="array" ref="H75">_xlfn.IFS($F75="","FN",$E75="","",$E75&lt;&gt;"",$F75-$E75)</f>
        <v>FN</v>
      </c>
    </row>
    <row r="76" spans="8:8" x14ac:dyDescent="0.3">
      <c r="H76" s="133" t="str" cm="1">
        <f t="array" ref="H76">_xlfn.IFS($F76="","FN",$E76="","",$E76&lt;&gt;"",$F76-$E76)</f>
        <v>FN</v>
      </c>
    </row>
    <row r="77" spans="8:8" x14ac:dyDescent="0.3">
      <c r="H77" s="133" t="str" cm="1">
        <f t="array" ref="H77">_xlfn.IFS($F77="","FN",$E77="","",$E77&lt;&gt;"",$F77-$E77)</f>
        <v>FN</v>
      </c>
    </row>
    <row r="78" spans="8:8" x14ac:dyDescent="0.3">
      <c r="H78" s="133" t="str" cm="1">
        <f t="array" ref="H78">_xlfn.IFS($F78="","FN",$E78="","",$E78&lt;&gt;"",$F78-$E78)</f>
        <v>FN</v>
      </c>
    </row>
    <row r="79" spans="8:8" x14ac:dyDescent="0.3">
      <c r="H79" s="133" t="str" cm="1">
        <f t="array" ref="H79">_xlfn.IFS($F79="","FN",$E79="","",$E79&lt;&gt;"",$F79-$E79)</f>
        <v>FN</v>
      </c>
    </row>
    <row r="80" spans="8:8" x14ac:dyDescent="0.3">
      <c r="H80" s="133" t="str" cm="1">
        <f t="array" ref="H80">_xlfn.IFS($F80="","FN",$E80="","",$E80&lt;&gt;"",$F80-$E80)</f>
        <v>FN</v>
      </c>
    </row>
    <row r="81" spans="8:8" x14ac:dyDescent="0.3">
      <c r="H81" s="133" t="str" cm="1">
        <f t="array" ref="H81">_xlfn.IFS($F81="","FN",$E81="","",$E81&lt;&gt;"",$F81-$E81)</f>
        <v>FN</v>
      </c>
    </row>
    <row r="82" spans="8:8" x14ac:dyDescent="0.3">
      <c r="H82" s="133" t="str" cm="1">
        <f t="array" ref="H82">_xlfn.IFS($F82="","FN",$E82="","",$E82&lt;&gt;"",$F82-$E82)</f>
        <v>FN</v>
      </c>
    </row>
    <row r="83" spans="8:8" x14ac:dyDescent="0.3">
      <c r="H83" s="133" t="str" cm="1">
        <f t="array" ref="H83">_xlfn.IFS($F83="","FN",$E83="","",$E83&lt;&gt;"",$F83-$E83)</f>
        <v>FN</v>
      </c>
    </row>
    <row r="84" spans="8:8" x14ac:dyDescent="0.3">
      <c r="H84" s="133" t="str" cm="1">
        <f t="array" ref="H84">_xlfn.IFS($F84="","FN",$E84="","",$E84&lt;&gt;"",$F84-$E84)</f>
        <v>FN</v>
      </c>
    </row>
    <row r="85" spans="8:8" x14ac:dyDescent="0.3">
      <c r="H85" s="133" t="str" cm="1">
        <f t="array" ref="H85">_xlfn.IFS($F85="","FN",$E85="","",$E85&lt;&gt;"",$F85-$E85)</f>
        <v>FN</v>
      </c>
    </row>
    <row r="86" spans="8:8" x14ac:dyDescent="0.3">
      <c r="H86" s="133" t="str" cm="1">
        <f t="array" ref="H86">_xlfn.IFS($F86="","FN",$E86="","",$E86&lt;&gt;"",$F86-$E86)</f>
        <v>FN</v>
      </c>
    </row>
    <row r="87" spans="8:8" x14ac:dyDescent="0.3">
      <c r="H87" s="133" t="str" cm="1">
        <f t="array" ref="H87">_xlfn.IFS($F87="","FN",$E87="","",$E87&lt;&gt;"",$F87-$E87)</f>
        <v>FN</v>
      </c>
    </row>
    <row r="88" spans="8:8" x14ac:dyDescent="0.3">
      <c r="H88" s="133" t="str" cm="1">
        <f t="array" ref="H88">_xlfn.IFS($F88="","FN",$E88="","",$E88&lt;&gt;"",$F88-$E88)</f>
        <v>FN</v>
      </c>
    </row>
    <row r="89" spans="8:8" x14ac:dyDescent="0.3">
      <c r="H89" s="133" t="str" cm="1">
        <f t="array" ref="H89">_xlfn.IFS($F89="","FN",$E89="","",$E89&lt;&gt;"",$F89-$E89)</f>
        <v>FN</v>
      </c>
    </row>
    <row r="90" spans="8:8" x14ac:dyDescent="0.3">
      <c r="H90" s="133" t="str" cm="1">
        <f t="array" ref="H90">_xlfn.IFS($F90="","FN",$E90="","",$E90&lt;&gt;"",$F90-$E90)</f>
        <v>FN</v>
      </c>
    </row>
    <row r="91" spans="8:8" x14ac:dyDescent="0.3">
      <c r="H91" s="133" t="str" cm="1">
        <f t="array" ref="H91">_xlfn.IFS($F91="","FN",$E91="","",$E91&lt;&gt;"",$F91-$E91)</f>
        <v>FN</v>
      </c>
    </row>
    <row r="92" spans="8:8" x14ac:dyDescent="0.3">
      <c r="H92" s="133" t="str" cm="1">
        <f t="array" ref="H92">_xlfn.IFS($F92="","FN",$E92="","",$E92&lt;&gt;"",$F92-$E92)</f>
        <v>FN</v>
      </c>
    </row>
    <row r="93" spans="8:8" x14ac:dyDescent="0.3">
      <c r="H93" s="133" t="str" cm="1">
        <f t="array" ref="H93">_xlfn.IFS($F93="","FN",$E93="","",$E93&lt;&gt;"",$F93-$E93)</f>
        <v>FN</v>
      </c>
    </row>
    <row r="94" spans="8:8" x14ac:dyDescent="0.3">
      <c r="H94" s="133" t="str" cm="1">
        <f t="array" ref="H94">_xlfn.IFS($F94="","FN",$E94="","",$E94&lt;&gt;"",$F94-$E94)</f>
        <v>FN</v>
      </c>
    </row>
    <row r="95" spans="8:8" x14ac:dyDescent="0.3">
      <c r="H95" s="133" t="str" cm="1">
        <f t="array" ref="H95">_xlfn.IFS($F95="","FN",$E95="","",$E95&lt;&gt;"",$F95-$E95)</f>
        <v>FN</v>
      </c>
    </row>
    <row r="96" spans="8:8" x14ac:dyDescent="0.3">
      <c r="H96" s="133" t="str" cm="1">
        <f t="array" ref="H96">_xlfn.IFS($F96="","FN",$E96="","",$E96&lt;&gt;"",$F96-$E96)</f>
        <v>FN</v>
      </c>
    </row>
    <row r="97" spans="8:8" x14ac:dyDescent="0.3">
      <c r="H97" s="133" t="str" cm="1">
        <f t="array" ref="H97">_xlfn.IFS($F97="","FN",$E97="","",$E97&lt;&gt;"",$F97-$E97)</f>
        <v>FN</v>
      </c>
    </row>
    <row r="98" spans="8:8" x14ac:dyDescent="0.3">
      <c r="H98" s="133" t="str" cm="1">
        <f t="array" ref="H98">_xlfn.IFS($F98="","FN",$E98="","",$E98&lt;&gt;"",$F98-$E98)</f>
        <v>FN</v>
      </c>
    </row>
    <row r="99" spans="8:8" x14ac:dyDescent="0.3">
      <c r="H99" s="133" t="str" cm="1">
        <f t="array" ref="H99">_xlfn.IFS($F99="","FN",$E99="","",$E99&lt;&gt;"",$F99-$E99)</f>
        <v>FN</v>
      </c>
    </row>
    <row r="100" spans="8:8" x14ac:dyDescent="0.3">
      <c r="H100" s="133" t="str" cm="1">
        <f t="array" ref="H100">_xlfn.IFS($F100="","FN",$E100="","",$E100&lt;&gt;"",$F100-$E100)</f>
        <v>FN</v>
      </c>
    </row>
    <row r="101" spans="8:8" x14ac:dyDescent="0.3">
      <c r="H101" s="133" t="str" cm="1">
        <f t="array" ref="H101">_xlfn.IFS($F101="","FN",$E101="","",$E101&lt;&gt;"",$F101-$E101)</f>
        <v>FN</v>
      </c>
    </row>
    <row r="102" spans="8:8" x14ac:dyDescent="0.3">
      <c r="H102" s="133" t="str" cm="1">
        <f t="array" ref="H102">_xlfn.IFS($F102="","FN",$E102="","",$E102&lt;&gt;"",$F102-$E102)</f>
        <v>FN</v>
      </c>
    </row>
    <row r="103" spans="8:8" x14ac:dyDescent="0.3">
      <c r="H103" s="133" t="str" cm="1">
        <f t="array" ref="H103">_xlfn.IFS($F103="","FN",$E103="","",$E103&lt;&gt;"",$F103-$E103)</f>
        <v>FN</v>
      </c>
    </row>
    <row r="104" spans="8:8" x14ac:dyDescent="0.3">
      <c r="H104" s="133" t="str" cm="1">
        <f t="array" ref="H104">_xlfn.IFS($F104="","FN",$E104="","",$E104&lt;&gt;"",$F104-$E104)</f>
        <v>FN</v>
      </c>
    </row>
    <row r="105" spans="8:8" x14ac:dyDescent="0.3">
      <c r="H105" s="133" t="str" cm="1">
        <f t="array" ref="H105">_xlfn.IFS($F105="","FN",$E105="","",$E105&lt;&gt;"",$F105-$E105)</f>
        <v>FN</v>
      </c>
    </row>
    <row r="106" spans="8:8" x14ac:dyDescent="0.3">
      <c r="H106" s="133" t="str" cm="1">
        <f t="array" ref="H106">_xlfn.IFS($F106="","FN",$E106="","",$E106&lt;&gt;"",$F106-$E106)</f>
        <v>FN</v>
      </c>
    </row>
    <row r="107" spans="8:8" x14ac:dyDescent="0.3">
      <c r="H107" s="133" t="str" cm="1">
        <f t="array" ref="H107">_xlfn.IFS($F107="","FN",$E107="","",$E107&lt;&gt;"",$F107-$E107)</f>
        <v>FN</v>
      </c>
    </row>
    <row r="108" spans="8:8" x14ac:dyDescent="0.3">
      <c r="H108" s="133" t="str" cm="1">
        <f t="array" ref="H108">_xlfn.IFS($F108="","FN",$E108="","",$E108&lt;&gt;"",$F108-$E108)</f>
        <v>FN</v>
      </c>
    </row>
    <row r="109" spans="8:8" x14ac:dyDescent="0.3">
      <c r="H109" s="133" t="str" cm="1">
        <f t="array" ref="H109">_xlfn.IFS($F109="","FN",$E109="","",$E109&lt;&gt;"",$F109-$E109)</f>
        <v>FN</v>
      </c>
    </row>
    <row r="110" spans="8:8" x14ac:dyDescent="0.3">
      <c r="H110" s="133" t="str" cm="1">
        <f t="array" ref="H110">_xlfn.IFS($F110="","FN",$E110="","",$E110&lt;&gt;"",$F110-$E110)</f>
        <v>FN</v>
      </c>
    </row>
    <row r="111" spans="8:8" x14ac:dyDescent="0.3">
      <c r="H111" s="133" t="str" cm="1">
        <f t="array" ref="H111">_xlfn.IFS($F111="","FN",$E111="","",$E111&lt;&gt;"",$F111-$E111)</f>
        <v>FN</v>
      </c>
    </row>
    <row r="112" spans="8:8" x14ac:dyDescent="0.3">
      <c r="H112" s="133" t="str" cm="1">
        <f t="array" ref="H112">_xlfn.IFS($F112="","FN",$E112="","",$E112&lt;&gt;"",$F112-$E112)</f>
        <v>FN</v>
      </c>
    </row>
    <row r="113" spans="8:8" x14ac:dyDescent="0.3">
      <c r="H113" s="133" t="str" cm="1">
        <f t="array" ref="H113">_xlfn.IFS($F113="","FN",$E113="","",$E113&lt;&gt;"",$F113-$E113)</f>
        <v>FN</v>
      </c>
    </row>
    <row r="114" spans="8:8" x14ac:dyDescent="0.3">
      <c r="H114" s="133" t="str" cm="1">
        <f t="array" ref="H114">_xlfn.IFS($F114="","FN",$E114="","",$E114&lt;&gt;"",$F114-$E114)</f>
        <v>FN</v>
      </c>
    </row>
    <row r="115" spans="8:8" x14ac:dyDescent="0.3">
      <c r="H115" s="133" t="str" cm="1">
        <f t="array" ref="H115">_xlfn.IFS($F115="","FN",$E115="","",$E115&lt;&gt;"",$F115-$E115)</f>
        <v>FN</v>
      </c>
    </row>
    <row r="116" spans="8:8" x14ac:dyDescent="0.3">
      <c r="H116" s="133" t="str" cm="1">
        <f t="array" ref="H116">_xlfn.IFS($F116="","FN",$E116="","",$E116&lt;&gt;"",$F116-$E116)</f>
        <v>FN</v>
      </c>
    </row>
    <row r="117" spans="8:8" x14ac:dyDescent="0.3">
      <c r="H117" s="133" t="str" cm="1">
        <f t="array" ref="H117">_xlfn.IFS($F117="","FN",$E117="","",$E117&lt;&gt;"",$F117-$E117)</f>
        <v>FN</v>
      </c>
    </row>
    <row r="118" spans="8:8" x14ac:dyDescent="0.3">
      <c r="H118" s="133" t="str" cm="1">
        <f t="array" ref="H118">_xlfn.IFS($F118="","FN",$E118="","",$E118&lt;&gt;"",$F118-$E118)</f>
        <v>FN</v>
      </c>
    </row>
    <row r="119" spans="8:8" x14ac:dyDescent="0.3">
      <c r="H119" s="133" t="str" cm="1">
        <f t="array" ref="H119">_xlfn.IFS($F119="","FN",$E119="","",$E119&lt;&gt;"",$F119-$E119)</f>
        <v>FN</v>
      </c>
    </row>
    <row r="120" spans="8:8" x14ac:dyDescent="0.3">
      <c r="H120" s="133" t="str" cm="1">
        <f t="array" ref="H120">_xlfn.IFS($F120="","FN",$E120="","",$E120&lt;&gt;"",$F120-$E120)</f>
        <v>FN</v>
      </c>
    </row>
    <row r="121" spans="8:8" x14ac:dyDescent="0.3">
      <c r="H121" s="133" t="str" cm="1">
        <f t="array" ref="H121">_xlfn.IFS($F121="","FN",$E121="","",$E121&lt;&gt;"",$F121-$E121)</f>
        <v>FN</v>
      </c>
    </row>
    <row r="122" spans="8:8" x14ac:dyDescent="0.3">
      <c r="H122" s="133" t="str" cm="1">
        <f t="array" ref="H122">_xlfn.IFS($F122="","FN",$E122="","",$E122&lt;&gt;"",$F122-$E122)</f>
        <v>FN</v>
      </c>
    </row>
    <row r="123" spans="8:8" x14ac:dyDescent="0.3">
      <c r="H123" s="133" t="str" cm="1">
        <f t="array" ref="H123">_xlfn.IFS($F123="","FN",$E123="","",$E123&lt;&gt;"",$F123-$E123)</f>
        <v>FN</v>
      </c>
    </row>
    <row r="124" spans="8:8" x14ac:dyDescent="0.3">
      <c r="H124" s="133" t="str" cm="1">
        <f t="array" ref="H124">_xlfn.IFS($F124="","FN",$E124="","",$E124&lt;&gt;"",$F124-$E124)</f>
        <v>FN</v>
      </c>
    </row>
    <row r="125" spans="8:8" x14ac:dyDescent="0.3">
      <c r="H125" s="133" t="str" cm="1">
        <f t="array" ref="H125">_xlfn.IFS($F125="","FN",$E125="","",$E125&lt;&gt;"",$F125-$E125)</f>
        <v>FN</v>
      </c>
    </row>
    <row r="126" spans="8:8" x14ac:dyDescent="0.3">
      <c r="H126" s="133" t="str" cm="1">
        <f t="array" ref="H126">_xlfn.IFS($F126="","FN",$E126="","",$E126&lt;&gt;"",$F126-$E126)</f>
        <v>FN</v>
      </c>
    </row>
    <row r="127" spans="8:8" x14ac:dyDescent="0.3">
      <c r="H127" s="133" t="str" cm="1">
        <f t="array" ref="H127">_xlfn.IFS($F127="","FN",$E127="","",$E127&lt;&gt;"",$F127-$E127)</f>
        <v>FN</v>
      </c>
    </row>
    <row r="128" spans="8:8" x14ac:dyDescent="0.3">
      <c r="H128" s="133" t="str" cm="1">
        <f t="array" ref="H128">_xlfn.IFS($F128="","FN",$E128="","",$E128&lt;&gt;"",$F128-$E128)</f>
        <v>FN</v>
      </c>
    </row>
    <row r="129" spans="8:8" x14ac:dyDescent="0.3">
      <c r="H129" s="133" t="str" cm="1">
        <f t="array" ref="H129">_xlfn.IFS($F129="","FN",$E129="","",$E129&lt;&gt;"",$F129-$E129)</f>
        <v>FN</v>
      </c>
    </row>
    <row r="130" spans="8:8" x14ac:dyDescent="0.3">
      <c r="H130" s="133" t="str" cm="1">
        <f t="array" ref="H130">_xlfn.IFS($F130="","FN",$E130="","",$E130&lt;&gt;"",$F130-$E130)</f>
        <v>FN</v>
      </c>
    </row>
    <row r="131" spans="8:8" x14ac:dyDescent="0.3">
      <c r="H131" s="133" t="str" cm="1">
        <f t="array" ref="H131">_xlfn.IFS($F131="","FN",$E131="","",$E131&lt;&gt;"",$F131-$E131)</f>
        <v>FN</v>
      </c>
    </row>
    <row r="132" spans="8:8" x14ac:dyDescent="0.3">
      <c r="H132" s="133" t="str" cm="1">
        <f t="array" ref="H132">_xlfn.IFS($F132="","FN",$E132="","",$E132&lt;&gt;"",$F132-$E132)</f>
        <v>FN</v>
      </c>
    </row>
    <row r="133" spans="8:8" x14ac:dyDescent="0.3">
      <c r="H133" s="133" t="str" cm="1">
        <f t="array" ref="H133">_xlfn.IFS($F133="","FN",$E133="","",$E133&lt;&gt;"",$F133-$E133)</f>
        <v>FN</v>
      </c>
    </row>
    <row r="134" spans="8:8" x14ac:dyDescent="0.3">
      <c r="H134" s="133" t="str" cm="1">
        <f t="array" ref="H134">_xlfn.IFS($F134="","FN",$E134="","",$E134&lt;&gt;"",$F134-$E134)</f>
        <v>FN</v>
      </c>
    </row>
    <row r="135" spans="8:8" x14ac:dyDescent="0.3">
      <c r="H135" s="133" t="str" cm="1">
        <f t="array" ref="H135">_xlfn.IFS($F135="","FN",$E135="","",$E135&lt;&gt;"",$F135-$E135)</f>
        <v>FN</v>
      </c>
    </row>
    <row r="136" spans="8:8" x14ac:dyDescent="0.3">
      <c r="H136" s="133" t="str" cm="1">
        <f t="array" ref="H136">_xlfn.IFS($F136="","FN",$E136="","",$E136&lt;&gt;"",$F136-$E136)</f>
        <v>FN</v>
      </c>
    </row>
    <row r="137" spans="8:8" x14ac:dyDescent="0.3">
      <c r="H137" s="133" t="str" cm="1">
        <f t="array" ref="H137">_xlfn.IFS($F137="","FN",$E137="","",$E137&lt;&gt;"",$F137-$E137)</f>
        <v>FN</v>
      </c>
    </row>
    <row r="138" spans="8:8" x14ac:dyDescent="0.3">
      <c r="H138" s="133" t="str" cm="1">
        <f t="array" ref="H138">_xlfn.IFS($F138="","FN",$E138="","",$E138&lt;&gt;"",$F138-$E138)</f>
        <v>FN</v>
      </c>
    </row>
    <row r="139" spans="8:8" x14ac:dyDescent="0.3">
      <c r="H139" s="133" t="str" cm="1">
        <f t="array" ref="H139">_xlfn.IFS($F139="","FN",$E139="","",$E139&lt;&gt;"",$F139-$E139)</f>
        <v>FN</v>
      </c>
    </row>
    <row r="140" spans="8:8" x14ac:dyDescent="0.3">
      <c r="H140" s="133" t="str" cm="1">
        <f t="array" ref="H140">_xlfn.IFS($F140="","FN",$E140="","",$E140&lt;&gt;"",$F140-$E140)</f>
        <v>FN</v>
      </c>
    </row>
    <row r="141" spans="8:8" x14ac:dyDescent="0.3">
      <c r="H141" s="133" t="str" cm="1">
        <f t="array" ref="H141">_xlfn.IFS($F141="","FN",$E141="","",$E141&lt;&gt;"",$F141-$E141)</f>
        <v>FN</v>
      </c>
    </row>
    <row r="142" spans="8:8" x14ac:dyDescent="0.3">
      <c r="H142" s="133" t="str" cm="1">
        <f t="array" ref="H142">_xlfn.IFS($F142="","FN",$E142="","",$E142&lt;&gt;"",$F142-$E142)</f>
        <v>FN</v>
      </c>
    </row>
    <row r="143" spans="8:8" x14ac:dyDescent="0.3">
      <c r="H143" s="133" t="str" cm="1">
        <f t="array" ref="H143">_xlfn.IFS($F143="","FN",$E143="","",$E143&lt;&gt;"",$F143-$E143)</f>
        <v>FN</v>
      </c>
    </row>
    <row r="144" spans="8:8" x14ac:dyDescent="0.3">
      <c r="H144" s="133" t="str" cm="1">
        <f t="array" ref="H144">_xlfn.IFS($F144="","FN",$E144="","",$E144&lt;&gt;"",$F144-$E144)</f>
        <v>FN</v>
      </c>
    </row>
    <row r="145" spans="8:8" x14ac:dyDescent="0.3">
      <c r="H145" s="133" t="str" cm="1">
        <f t="array" ref="H145">_xlfn.IFS($F145="","FN",$E145="","",$E145&lt;&gt;"",$F145-$E145)</f>
        <v>FN</v>
      </c>
    </row>
    <row r="146" spans="8:8" x14ac:dyDescent="0.3">
      <c r="H146" s="133" t="str" cm="1">
        <f t="array" ref="H146">_xlfn.IFS($F146="","FN",$E146="","",$E146&lt;&gt;"",$F146-$E146)</f>
        <v>FN</v>
      </c>
    </row>
    <row r="147" spans="8:8" x14ac:dyDescent="0.3">
      <c r="H147" s="133" t="str" cm="1">
        <f t="array" ref="H147">_xlfn.IFS($F147="","FN",$E147="","",$E147&lt;&gt;"",$F147-$E147)</f>
        <v>FN</v>
      </c>
    </row>
    <row r="148" spans="8:8" x14ac:dyDescent="0.3">
      <c r="H148" s="133" t="str" cm="1">
        <f t="array" ref="H148">_xlfn.IFS($F148="","FN",$E148="","",$E148&lt;&gt;"",$F148-$E148)</f>
        <v>FN</v>
      </c>
    </row>
    <row r="149" spans="8:8" x14ac:dyDescent="0.3">
      <c r="H149" s="133" t="str" cm="1">
        <f t="array" ref="H149">_xlfn.IFS($F149="","FN",$E149="","",$E149&lt;&gt;"",$F149-$E149)</f>
        <v>FN</v>
      </c>
    </row>
    <row r="150" spans="8:8" x14ac:dyDescent="0.3">
      <c r="H150" s="133" t="str" cm="1">
        <f t="array" ref="H150">_xlfn.IFS($F150="","FN",$E150="","",$E150&lt;&gt;"",$F150-$E150)</f>
        <v>FN</v>
      </c>
    </row>
    <row r="151" spans="8:8" x14ac:dyDescent="0.3">
      <c r="H151" s="133" t="str" cm="1">
        <f t="array" ref="H151">_xlfn.IFS($F151="","FN",$E151="","",$E151&lt;&gt;"",$F151-$E151)</f>
        <v>FN</v>
      </c>
    </row>
    <row r="152" spans="8:8" x14ac:dyDescent="0.3">
      <c r="H152" s="133" t="str" cm="1">
        <f t="array" ref="H152">_xlfn.IFS($F152="","FN",$E152="","",$E152&lt;&gt;"",$F152-$E152)</f>
        <v>FN</v>
      </c>
    </row>
    <row r="153" spans="8:8" x14ac:dyDescent="0.3">
      <c r="H153" s="133" t="str" cm="1">
        <f t="array" ref="H153">_xlfn.IFS($F153="","FN",$E153="","",$E153&lt;&gt;"",$F153-$E153)</f>
        <v>FN</v>
      </c>
    </row>
    <row r="154" spans="8:8" x14ac:dyDescent="0.3">
      <c r="H154" s="133" t="str" cm="1">
        <f t="array" ref="H154">_xlfn.IFS($F154="","FN",$E154="","",$E154&lt;&gt;"",$F154-$E154)</f>
        <v>FN</v>
      </c>
    </row>
    <row r="155" spans="8:8" x14ac:dyDescent="0.3">
      <c r="H155" s="133" t="str" cm="1">
        <f t="array" ref="H155">_xlfn.IFS($F155="","FN",$E155="","",$E155&lt;&gt;"",$F155-$E155)</f>
        <v>FN</v>
      </c>
    </row>
    <row r="156" spans="8:8" x14ac:dyDescent="0.3">
      <c r="H156" s="133" t="str" cm="1">
        <f t="array" ref="H156">_xlfn.IFS($F156="","FN",$E156="","",$E156&lt;&gt;"",$F156-$E156)</f>
        <v>FN</v>
      </c>
    </row>
    <row r="157" spans="8:8" x14ac:dyDescent="0.3">
      <c r="H157" s="133" t="str" cm="1">
        <f t="array" ref="H157">_xlfn.IFS($F157="","FN",$E157="","",$E157&lt;&gt;"",$F157-$E157)</f>
        <v>FN</v>
      </c>
    </row>
    <row r="158" spans="8:8" x14ac:dyDescent="0.3">
      <c r="H158" s="133" t="str" cm="1">
        <f t="array" ref="H158">_xlfn.IFS($F158="","FN",$E158="","",$E158&lt;&gt;"",$F158-$E158)</f>
        <v>FN</v>
      </c>
    </row>
    <row r="159" spans="8:8" x14ac:dyDescent="0.3">
      <c r="H159" s="133" t="str" cm="1">
        <f t="array" ref="H159">_xlfn.IFS($F159="","FN",$E159="","",$E159&lt;&gt;"",$F159-$E159)</f>
        <v>FN</v>
      </c>
    </row>
    <row r="160" spans="8:8" x14ac:dyDescent="0.3">
      <c r="H160" s="133" t="str" cm="1">
        <f t="array" ref="H160">_xlfn.IFS($F160="","FN",$E160="","",$E160&lt;&gt;"",$F160-$E160)</f>
        <v>FN</v>
      </c>
    </row>
    <row r="161" spans="8:8" x14ac:dyDescent="0.3">
      <c r="H161" s="133" t="str" cm="1">
        <f t="array" ref="H161">_xlfn.IFS($F161="","FN",$E161="","",$E161&lt;&gt;"",$F161-$E161)</f>
        <v>FN</v>
      </c>
    </row>
    <row r="162" spans="8:8" x14ac:dyDescent="0.3">
      <c r="H162" s="133" t="str" cm="1">
        <f t="array" ref="H162">_xlfn.IFS($F162="","FN",$E162="","",$E162&lt;&gt;"",$F162-$E162)</f>
        <v>FN</v>
      </c>
    </row>
    <row r="163" spans="8:8" x14ac:dyDescent="0.3">
      <c r="H163" s="133" t="str" cm="1">
        <f t="array" ref="H163">_xlfn.IFS($F163="","FN",$E163="","",$E163&lt;&gt;"",$F163-$E163)</f>
        <v>FN</v>
      </c>
    </row>
    <row r="164" spans="8:8" x14ac:dyDescent="0.3">
      <c r="H164" s="133" t="str" cm="1">
        <f t="array" ref="H164">_xlfn.IFS($F164="","FN",$E164="","",$E164&lt;&gt;"",$F164-$E164)</f>
        <v>FN</v>
      </c>
    </row>
    <row r="165" spans="8:8" x14ac:dyDescent="0.3">
      <c r="H165" s="133" t="str" cm="1">
        <f t="array" ref="H165">_xlfn.IFS($F165="","FN",$E165="","",$E165&lt;&gt;"",$F165-$E165)</f>
        <v>FN</v>
      </c>
    </row>
    <row r="166" spans="8:8" x14ac:dyDescent="0.3">
      <c r="H166" s="133" t="str" cm="1">
        <f t="array" ref="H166">_xlfn.IFS($F166="","FN",$E166="","",$E166&lt;&gt;"",$F166-$E166)</f>
        <v>FN</v>
      </c>
    </row>
    <row r="167" spans="8:8" x14ac:dyDescent="0.3">
      <c r="H167" s="133" t="str" cm="1">
        <f t="array" ref="H167">_xlfn.IFS($F167="","FN",$E167="","",$E167&lt;&gt;"",$F167-$E167)</f>
        <v>FN</v>
      </c>
    </row>
    <row r="168" spans="8:8" x14ac:dyDescent="0.3">
      <c r="H168" s="133" t="str" cm="1">
        <f t="array" ref="H168">_xlfn.IFS($F168="","FN",$E168="","",$E168&lt;&gt;"",$F168-$E168)</f>
        <v>FN</v>
      </c>
    </row>
    <row r="169" spans="8:8" x14ac:dyDescent="0.3">
      <c r="H169" s="133" t="str" cm="1">
        <f t="array" ref="H169">_xlfn.IFS($F169="","FN",$E169="","",$E169&lt;&gt;"",$F169-$E169)</f>
        <v>FN</v>
      </c>
    </row>
    <row r="170" spans="8:8" x14ac:dyDescent="0.3">
      <c r="H170" s="133" t="str" cm="1">
        <f t="array" ref="H170">_xlfn.IFS($F170="","FN",$E170="","",$E170&lt;&gt;"",$F170-$E170)</f>
        <v>FN</v>
      </c>
    </row>
    <row r="171" spans="8:8" x14ac:dyDescent="0.3">
      <c r="H171" s="133" t="str" cm="1">
        <f t="array" ref="H171">_xlfn.IFS($F171="","FN",$E171="","",$E171&lt;&gt;"",$F171-$E171)</f>
        <v>FN</v>
      </c>
    </row>
    <row r="172" spans="8:8" x14ac:dyDescent="0.3">
      <c r="H172" s="133" t="str" cm="1">
        <f t="array" ref="H172">_xlfn.IFS($F172="","FN",$E172="","",$E172&lt;&gt;"",$F172-$E172)</f>
        <v>FN</v>
      </c>
    </row>
    <row r="173" spans="8:8" x14ac:dyDescent="0.3">
      <c r="H173" s="133" t="str" cm="1">
        <f t="array" ref="H173">_xlfn.IFS($F173="","FN",$E173="","",$E173&lt;&gt;"",$F173-$E173)</f>
        <v>FN</v>
      </c>
    </row>
    <row r="174" spans="8:8" x14ac:dyDescent="0.3">
      <c r="H174" s="133" t="str" cm="1">
        <f t="array" ref="H174">_xlfn.IFS($F174="","FN",$E174="","",$E174&lt;&gt;"",$F174-$E174)</f>
        <v>FN</v>
      </c>
    </row>
    <row r="175" spans="8:8" x14ac:dyDescent="0.3">
      <c r="H175" s="133" t="str" cm="1">
        <f t="array" ref="H175">_xlfn.IFS($F175="","FN",$E175="","",$E175&lt;&gt;"",$F175-$E175)</f>
        <v>FN</v>
      </c>
    </row>
    <row r="176" spans="8:8" x14ac:dyDescent="0.3">
      <c r="H176" s="133" t="str" cm="1">
        <f t="array" ref="H176">_xlfn.IFS($F176="","FN",$E176="","",$E176&lt;&gt;"",$F176-$E176)</f>
        <v>FN</v>
      </c>
    </row>
    <row r="177" spans="8:8" x14ac:dyDescent="0.3">
      <c r="H177" s="133" t="str" cm="1">
        <f t="array" ref="H177">_xlfn.IFS($F177="","FN",$E177="","",$E177&lt;&gt;"",$F177-$E177)</f>
        <v>FN</v>
      </c>
    </row>
    <row r="178" spans="8:8" x14ac:dyDescent="0.3">
      <c r="H178" s="133" t="str" cm="1">
        <f t="array" ref="H178">_xlfn.IFS($F178="","FN",$E178="","",$E178&lt;&gt;"",$F178-$E178)</f>
        <v>FN</v>
      </c>
    </row>
    <row r="179" spans="8:8" x14ac:dyDescent="0.3">
      <c r="H179" s="133" t="str" cm="1">
        <f t="array" ref="H179">_xlfn.IFS($F179="","FN",$E179="","",$E179&lt;&gt;"",$F179-$E179)</f>
        <v>FN</v>
      </c>
    </row>
    <row r="180" spans="8:8" x14ac:dyDescent="0.3">
      <c r="H180" s="133" t="str" cm="1">
        <f t="array" ref="H180">_xlfn.IFS($F180="","FN",$E180="","",$E180&lt;&gt;"",$F180-$E180)</f>
        <v>FN</v>
      </c>
    </row>
    <row r="181" spans="8:8" x14ac:dyDescent="0.3">
      <c r="H181" s="133" t="str" cm="1">
        <f t="array" ref="H181">_xlfn.IFS($F181="","FN",$E181="","",$E181&lt;&gt;"",$F181-$E181)</f>
        <v>FN</v>
      </c>
    </row>
    <row r="182" spans="8:8" x14ac:dyDescent="0.3">
      <c r="H182" s="133" t="str" cm="1">
        <f t="array" ref="H182">_xlfn.IFS($F182="","FN",$E182="","",$E182&lt;&gt;"",$F182-$E182)</f>
        <v>FN</v>
      </c>
    </row>
    <row r="183" spans="8:8" x14ac:dyDescent="0.3">
      <c r="H183" s="133" t="str" cm="1">
        <f t="array" ref="H183">_xlfn.IFS($F183="","FN",$E183="","",$E183&lt;&gt;"",$F183-$E183)</f>
        <v>FN</v>
      </c>
    </row>
    <row r="184" spans="8:8" x14ac:dyDescent="0.3">
      <c r="H184" s="133" t="str" cm="1">
        <f t="array" ref="H184">_xlfn.IFS($F184="","FN",$E184="","",$E184&lt;&gt;"",$F184-$E184)</f>
        <v>FN</v>
      </c>
    </row>
    <row r="185" spans="8:8" x14ac:dyDescent="0.3">
      <c r="H185" s="133" t="str" cm="1">
        <f t="array" ref="H185">_xlfn.IFS($F185="","FN",$E185="","",$E185&lt;&gt;"",$F185-$E185)</f>
        <v>FN</v>
      </c>
    </row>
    <row r="186" spans="8:8" x14ac:dyDescent="0.3">
      <c r="H186" s="133" t="str" cm="1">
        <f t="array" ref="H186">_xlfn.IFS($F186="","FN",$E186="","",$E186&lt;&gt;"",$F186-$E186)</f>
        <v>FN</v>
      </c>
    </row>
    <row r="187" spans="8:8" x14ac:dyDescent="0.3">
      <c r="H187" s="133" t="str" cm="1">
        <f t="array" ref="H187">_xlfn.IFS($F187="","FN",$E187="","",$E187&lt;&gt;"",$F187-$E187)</f>
        <v>FN</v>
      </c>
    </row>
    <row r="188" spans="8:8" x14ac:dyDescent="0.3">
      <c r="H188" s="133" t="str" cm="1">
        <f t="array" ref="H188">_xlfn.IFS($F188="","FN",$E188="","",$E188&lt;&gt;"",$F188-$E188)</f>
        <v>FN</v>
      </c>
    </row>
    <row r="189" spans="8:8" x14ac:dyDescent="0.3">
      <c r="H189" s="133" t="str" cm="1">
        <f t="array" ref="H189">_xlfn.IFS($F189="","FN",$E189="","",$E189&lt;&gt;"",$F189-$E189)</f>
        <v>FN</v>
      </c>
    </row>
    <row r="190" spans="8:8" x14ac:dyDescent="0.3">
      <c r="H190" s="133" t="str" cm="1">
        <f t="array" ref="H190">_xlfn.IFS($F190="","FN",$E190="","",$E190&lt;&gt;"",$F190-$E190)</f>
        <v>FN</v>
      </c>
    </row>
    <row r="191" spans="8:8" x14ac:dyDescent="0.3">
      <c r="H191" s="133" t="str" cm="1">
        <f t="array" ref="H191">_xlfn.IFS($F191="","FN",$E191="","",$E191&lt;&gt;"",$F191-$E191)</f>
        <v>FN</v>
      </c>
    </row>
    <row r="192" spans="8:8" x14ac:dyDescent="0.3">
      <c r="H192" s="133" t="str" cm="1">
        <f t="array" ref="H192">_xlfn.IFS($F192="","FN",$E192="","",$E192&lt;&gt;"",$F192-$E192)</f>
        <v>FN</v>
      </c>
    </row>
    <row r="193" spans="8:8" x14ac:dyDescent="0.3">
      <c r="H193" s="133" t="str" cm="1">
        <f t="array" ref="H193">_xlfn.IFS($F193="","FN",$E193="","",$E193&lt;&gt;"",$F193-$E193)</f>
        <v>FN</v>
      </c>
    </row>
    <row r="194" spans="8:8" x14ac:dyDescent="0.3">
      <c r="H194" s="133" t="str" cm="1">
        <f t="array" ref="H194">_xlfn.IFS($F194="","FN",$E194="","",$E194&lt;&gt;"",$F194-$E194)</f>
        <v>FN</v>
      </c>
    </row>
    <row r="195" spans="8:8" x14ac:dyDescent="0.3">
      <c r="H195" s="133" t="str" cm="1">
        <f t="array" ref="H195">_xlfn.IFS($F195="","FN",$E195="","",$E195&lt;&gt;"",$F195-$E195)</f>
        <v>FN</v>
      </c>
    </row>
    <row r="196" spans="8:8" x14ac:dyDescent="0.3">
      <c r="H196" s="133" t="str" cm="1">
        <f t="array" ref="H196">_xlfn.IFS($F196="","FN",$E196="","",$E196&lt;&gt;"",$F196-$E196)</f>
        <v>FN</v>
      </c>
    </row>
    <row r="197" spans="8:8" x14ac:dyDescent="0.3">
      <c r="H197" s="133" t="str" cm="1">
        <f t="array" ref="H197">_xlfn.IFS($F197="","FN",$E197="","",$E197&lt;&gt;"",$F197-$E197)</f>
        <v>FN</v>
      </c>
    </row>
    <row r="198" spans="8:8" x14ac:dyDescent="0.3">
      <c r="H198" s="133" t="str" cm="1">
        <f t="array" ref="H198">_xlfn.IFS($F198="","FN",$E198="","",$E198&lt;&gt;"",$F198-$E198)</f>
        <v>FN</v>
      </c>
    </row>
    <row r="199" spans="8:8" x14ac:dyDescent="0.3">
      <c r="H199" s="133" t="str" cm="1">
        <f t="array" ref="H199">_xlfn.IFS($F199="","FN",$E199="","",$E199&lt;&gt;"",$F199-$E199)</f>
        <v>FN</v>
      </c>
    </row>
    <row r="200" spans="8:8" x14ac:dyDescent="0.3">
      <c r="H200" s="133" t="str" cm="1">
        <f t="array" ref="H200">_xlfn.IFS($F200="","FN",$E200="","",$E200&lt;&gt;"",$F200-$E200)</f>
        <v>FN</v>
      </c>
    </row>
    <row r="201" spans="8:8" x14ac:dyDescent="0.3">
      <c r="H201" s="133" t="str" cm="1">
        <f t="array" ref="H201">_xlfn.IFS($F201="","FN",$E201="","",$E201&lt;&gt;"",$F201-$E201)</f>
        <v>FN</v>
      </c>
    </row>
    <row r="202" spans="8:8" x14ac:dyDescent="0.3">
      <c r="H202" s="133" t="str" cm="1">
        <f t="array" ref="H202">_xlfn.IFS($F202="","FN",$E202="","",$E202&lt;&gt;"",$F202-$E202)</f>
        <v>FN</v>
      </c>
    </row>
    <row r="203" spans="8:8" x14ac:dyDescent="0.3">
      <c r="H203" s="133" t="str" cm="1">
        <f t="array" ref="H203">_xlfn.IFS($F203="","FN",$E203="","",$E203&lt;&gt;"",$F203-$E203)</f>
        <v>FN</v>
      </c>
    </row>
    <row r="204" spans="8:8" x14ac:dyDescent="0.3">
      <c r="H204" s="133" t="str" cm="1">
        <f t="array" ref="H204">_xlfn.IFS($F204="","FN",$E204="","",$E204&lt;&gt;"",$F204-$E204)</f>
        <v>FN</v>
      </c>
    </row>
    <row r="205" spans="8:8" x14ac:dyDescent="0.3">
      <c r="H205" s="133" t="str" cm="1">
        <f t="array" ref="H205">_xlfn.IFS($F205="","FN",$E205="","",$E205&lt;&gt;"",$F205-$E205)</f>
        <v>FN</v>
      </c>
    </row>
    <row r="206" spans="8:8" x14ac:dyDescent="0.3">
      <c r="H206" s="133" t="str" cm="1">
        <f t="array" ref="H206">_xlfn.IFS($F206="","FN",$E206="","",$E206&lt;&gt;"",$F206-$E206)</f>
        <v>FN</v>
      </c>
    </row>
    <row r="207" spans="8:8" x14ac:dyDescent="0.3">
      <c r="H207" s="133" t="str" cm="1">
        <f t="array" ref="H207">_xlfn.IFS($F207="","FN",$E207="","",$E207&lt;&gt;"",$F207-$E207)</f>
        <v>FN</v>
      </c>
    </row>
    <row r="208" spans="8:8" x14ac:dyDescent="0.3">
      <c r="H208" s="133" t="str" cm="1">
        <f t="array" ref="H208">_xlfn.IFS($F208="","FN",$E208="","",$E208&lt;&gt;"",$F208-$E208)</f>
        <v>FN</v>
      </c>
    </row>
    <row r="209" spans="8:8" x14ac:dyDescent="0.3">
      <c r="H209" s="133" t="str" cm="1">
        <f t="array" ref="H209">_xlfn.IFS($F209="","FN",$E209="","",$E209&lt;&gt;"",$F209-$E209)</f>
        <v>FN</v>
      </c>
    </row>
    <row r="210" spans="8:8" x14ac:dyDescent="0.3">
      <c r="H210" s="133" t="str" cm="1">
        <f t="array" ref="H210">_xlfn.IFS($F210="","FN",$E210="","",$E210&lt;&gt;"",$F210-$E210)</f>
        <v>FN</v>
      </c>
    </row>
    <row r="211" spans="8:8" x14ac:dyDescent="0.3">
      <c r="H211" s="133" t="str" cm="1">
        <f t="array" ref="H211">_xlfn.IFS($F211="","FN",$E211="","",$E211&lt;&gt;"",$F211-$E211)</f>
        <v>FN</v>
      </c>
    </row>
    <row r="212" spans="8:8" x14ac:dyDescent="0.3">
      <c r="H212" s="133" t="str" cm="1">
        <f t="array" ref="H212">_xlfn.IFS($F212="","FN",$E212="","",$E212&lt;&gt;"",$F212-$E212)</f>
        <v>FN</v>
      </c>
    </row>
    <row r="213" spans="8:8" x14ac:dyDescent="0.3">
      <c r="H213" s="133" t="str" cm="1">
        <f t="array" ref="H213">_xlfn.IFS($F213="","FN",$E213="","",$E213&lt;&gt;"",$F213-$E213)</f>
        <v>FN</v>
      </c>
    </row>
    <row r="214" spans="8:8" x14ac:dyDescent="0.3">
      <c r="H214" s="133" t="str" cm="1">
        <f t="array" ref="H214">_xlfn.IFS($F214="","FN",$E214="","",$E214&lt;&gt;"",$F214-$E214)</f>
        <v>FN</v>
      </c>
    </row>
    <row r="215" spans="8:8" x14ac:dyDescent="0.3">
      <c r="H215" s="133" t="str" cm="1">
        <f t="array" ref="H215">_xlfn.IFS($F215="","FN",$E215="","",$E215&lt;&gt;"",$F215-$E215)</f>
        <v>FN</v>
      </c>
    </row>
    <row r="216" spans="8:8" x14ac:dyDescent="0.3">
      <c r="H216" s="133" t="str" cm="1">
        <f t="array" ref="H216">_xlfn.IFS($F216="","FN",$E216="","",$E216&lt;&gt;"",$F216-$E216)</f>
        <v>FN</v>
      </c>
    </row>
    <row r="217" spans="8:8" x14ac:dyDescent="0.3">
      <c r="H217" s="133" t="str" cm="1">
        <f t="array" ref="H217">_xlfn.IFS($F217="","FN",$E217="","",$E217&lt;&gt;"",$F217-$E217)</f>
        <v>FN</v>
      </c>
    </row>
    <row r="218" spans="8:8" x14ac:dyDescent="0.3">
      <c r="H218" s="133" t="str" cm="1">
        <f t="array" ref="H218">_xlfn.IFS($F218="","FN",$E218="","",$E218&lt;&gt;"",$F218-$E218)</f>
        <v>FN</v>
      </c>
    </row>
    <row r="219" spans="8:8" x14ac:dyDescent="0.3">
      <c r="H219" s="133" t="str" cm="1">
        <f t="array" ref="H219">_xlfn.IFS($F219="","FN",$E219="","",$E219&lt;&gt;"",$F219-$E219)</f>
        <v>FN</v>
      </c>
    </row>
    <row r="220" spans="8:8" x14ac:dyDescent="0.3">
      <c r="H220" s="133" t="str" cm="1">
        <f t="array" ref="H220">_xlfn.IFS($F220="","FN",$E220="","",$E220&lt;&gt;"",$F220-$E220)</f>
        <v>FN</v>
      </c>
    </row>
    <row r="221" spans="8:8" x14ac:dyDescent="0.3">
      <c r="H221" s="133" t="str" cm="1">
        <f t="array" ref="H221">_xlfn.IFS($F221="","FN",$E221="","",$E221&lt;&gt;"",$F221-$E221)</f>
        <v>FN</v>
      </c>
    </row>
    <row r="222" spans="8:8" x14ac:dyDescent="0.3">
      <c r="H222" s="133" t="str" cm="1">
        <f t="array" ref="H222">_xlfn.IFS($F222="","FN",$E222="","",$E222&lt;&gt;"",$F222-$E222)</f>
        <v>FN</v>
      </c>
    </row>
    <row r="223" spans="8:8" x14ac:dyDescent="0.3">
      <c r="H223" s="133" t="str" cm="1">
        <f t="array" ref="H223">_xlfn.IFS($F223="","FN",$E223="","",$E223&lt;&gt;"",$F223-$E223)</f>
        <v>FN</v>
      </c>
    </row>
    <row r="224" spans="8:8" x14ac:dyDescent="0.3">
      <c r="H224" s="133" t="str" cm="1">
        <f t="array" ref="H224">_xlfn.IFS($F224="","FN",$E224="","",$E224&lt;&gt;"",$F224-$E224)</f>
        <v>FN</v>
      </c>
    </row>
    <row r="225" spans="8:8" x14ac:dyDescent="0.3">
      <c r="H225" s="133" t="str" cm="1">
        <f t="array" ref="H225">_xlfn.IFS($F225="","FN",$E225="","",$E225&lt;&gt;"",$F225-$E225)</f>
        <v>FN</v>
      </c>
    </row>
    <row r="226" spans="8:8" x14ac:dyDescent="0.3">
      <c r="H226" s="133" t="str" cm="1">
        <f t="array" ref="H226">_xlfn.IFS($F226="","FN",$E226="","",$E226&lt;&gt;"",$F226-$E226)</f>
        <v>FN</v>
      </c>
    </row>
    <row r="227" spans="8:8" x14ac:dyDescent="0.3">
      <c r="H227" s="133" t="str" cm="1">
        <f t="array" ref="H227">_xlfn.IFS($F227="","FN",$E227="","",$E227&lt;&gt;"",$F227-$E227)</f>
        <v>FN</v>
      </c>
    </row>
    <row r="228" spans="8:8" x14ac:dyDescent="0.3">
      <c r="H228" s="133" t="str" cm="1">
        <f t="array" ref="H228">_xlfn.IFS($F228="","FN",$E228="","",$E228&lt;&gt;"",$F228-$E228)</f>
        <v>FN</v>
      </c>
    </row>
    <row r="229" spans="8:8" x14ac:dyDescent="0.3">
      <c r="H229" s="133" t="str" cm="1">
        <f t="array" ref="H229">_xlfn.IFS($F229="","FN",$E229="","",$E229&lt;&gt;"",$F229-$E229)</f>
        <v>FN</v>
      </c>
    </row>
    <row r="230" spans="8:8" x14ac:dyDescent="0.3">
      <c r="H230" s="133" t="str" cm="1">
        <f t="array" ref="H230">_xlfn.IFS($F230="","FN",$E230="","",$E230&lt;&gt;"",$F230-$E230)</f>
        <v>FN</v>
      </c>
    </row>
    <row r="231" spans="8:8" x14ac:dyDescent="0.3">
      <c r="H231" s="133" t="str" cm="1">
        <f t="array" ref="H231">_xlfn.IFS($F231="","FN",$E231="","",$E231&lt;&gt;"",$F231-$E231)</f>
        <v>FN</v>
      </c>
    </row>
    <row r="232" spans="8:8" x14ac:dyDescent="0.3">
      <c r="H232" s="133" t="str" cm="1">
        <f t="array" ref="H232">_xlfn.IFS($F232="","FN",$E232="","",$E232&lt;&gt;"",$F232-$E232)</f>
        <v>FN</v>
      </c>
    </row>
    <row r="233" spans="8:8" x14ac:dyDescent="0.3">
      <c r="H233" s="133" t="str" cm="1">
        <f t="array" ref="H233">_xlfn.IFS($F233="","FN",$E233="","",$E233&lt;&gt;"",$F233-$E233)</f>
        <v>FN</v>
      </c>
    </row>
    <row r="234" spans="8:8" x14ac:dyDescent="0.3">
      <c r="H234" s="133" t="str" cm="1">
        <f t="array" ref="H234">_xlfn.IFS($F234="","FN",$E234="","",$E234&lt;&gt;"",$F234-$E234)</f>
        <v>FN</v>
      </c>
    </row>
    <row r="235" spans="8:8" x14ac:dyDescent="0.3">
      <c r="H235" s="133" t="str" cm="1">
        <f t="array" ref="H235">_xlfn.IFS($F235="","FN",$E235="","",$E235&lt;&gt;"",$F235-$E235)</f>
        <v>FN</v>
      </c>
    </row>
    <row r="236" spans="8:8" x14ac:dyDescent="0.3">
      <c r="H236" s="133" t="str" cm="1">
        <f t="array" ref="H236">_xlfn.IFS($F236="","FN",$E236="","",$E236&lt;&gt;"",$F236-$E236)</f>
        <v>FN</v>
      </c>
    </row>
    <row r="237" spans="8:8" x14ac:dyDescent="0.3">
      <c r="H237" s="133" t="str" cm="1">
        <f t="array" ref="H237">_xlfn.IFS($F237="","FN",$E237="","",$E237&lt;&gt;"",$F237-$E237)</f>
        <v>FN</v>
      </c>
    </row>
    <row r="238" spans="8:8" x14ac:dyDescent="0.3">
      <c r="H238" s="133" t="str" cm="1">
        <f t="array" ref="H238">_xlfn.IFS($F238="","FN",$E238="","",$E238&lt;&gt;"",$F238-$E238)</f>
        <v>FN</v>
      </c>
    </row>
    <row r="239" spans="8:8" x14ac:dyDescent="0.3">
      <c r="H239" s="133" t="str" cm="1">
        <f t="array" ref="H239">_xlfn.IFS($F239="","FN",$E239="","",$E239&lt;&gt;"",$F239-$E239)</f>
        <v>FN</v>
      </c>
    </row>
    <row r="240" spans="8:8" x14ac:dyDescent="0.3">
      <c r="H240" s="133" t="str" cm="1">
        <f t="array" ref="H240">_xlfn.IFS($F240="","FN",$E240="","",$E240&lt;&gt;"",$F240-$E240)</f>
        <v>FN</v>
      </c>
    </row>
    <row r="241" spans="8:8" x14ac:dyDescent="0.3">
      <c r="H241" s="133" t="str" cm="1">
        <f t="array" ref="H241">_xlfn.IFS($F241="","FN",$E241="","",$E241&lt;&gt;"",$F241-$E241)</f>
        <v>FN</v>
      </c>
    </row>
    <row r="242" spans="8:8" x14ac:dyDescent="0.3">
      <c r="H242" s="133" t="str" cm="1">
        <f t="array" ref="H242">_xlfn.IFS($F242="","FN",$E242="","",$E242&lt;&gt;"",$F242-$E242)</f>
        <v>FN</v>
      </c>
    </row>
    <row r="243" spans="8:8" x14ac:dyDescent="0.3">
      <c r="H243" s="133" t="str" cm="1">
        <f t="array" ref="H243">_xlfn.IFS($F243="","FN",$E243="","",$E243&lt;&gt;"",$F243-$E243)</f>
        <v>FN</v>
      </c>
    </row>
    <row r="244" spans="8:8" x14ac:dyDescent="0.3">
      <c r="H244" s="133" t="str" cm="1">
        <f t="array" ref="H244">_xlfn.IFS($F244="","FN",$E244="","",$E244&lt;&gt;"",$F244-$E244)</f>
        <v>FN</v>
      </c>
    </row>
    <row r="245" spans="8:8" x14ac:dyDescent="0.3">
      <c r="H245" s="133" t="str" cm="1">
        <f t="array" ref="H245">_xlfn.IFS($F245="","FN",$E245="","",$E245&lt;&gt;"",$F245-$E245)</f>
        <v>FN</v>
      </c>
    </row>
    <row r="246" spans="8:8" x14ac:dyDescent="0.3">
      <c r="H246" s="133" t="str" cm="1">
        <f t="array" ref="H246">_xlfn.IFS($F246="","FN",$E246="","",$E246&lt;&gt;"",$F246-$E246)</f>
        <v>FN</v>
      </c>
    </row>
    <row r="247" spans="8:8" x14ac:dyDescent="0.3">
      <c r="H247" s="133" t="str" cm="1">
        <f t="array" ref="H247">_xlfn.IFS($F247="","FN",$E247="","",$E247&lt;&gt;"",$F247-$E247)</f>
        <v>FN</v>
      </c>
    </row>
    <row r="248" spans="8:8" x14ac:dyDescent="0.3">
      <c r="H248" s="133" t="str" cm="1">
        <f t="array" ref="H248">_xlfn.IFS($F248="","FN",$E248="","",$E248&lt;&gt;"",$F248-$E248)</f>
        <v>FN</v>
      </c>
    </row>
    <row r="249" spans="8:8" x14ac:dyDescent="0.3">
      <c r="H249" s="133" t="str" cm="1">
        <f t="array" ref="H249">_xlfn.IFS($F249="","FN",$E249="","",$E249&lt;&gt;"",$F249-$E249)</f>
        <v>FN</v>
      </c>
    </row>
    <row r="250" spans="8:8" x14ac:dyDescent="0.3">
      <c r="H250" s="133" t="str" cm="1">
        <f t="array" ref="H250">_xlfn.IFS($F250="","FN",$E250="","",$E250&lt;&gt;"",$F250-$E250)</f>
        <v>FN</v>
      </c>
    </row>
    <row r="251" spans="8:8" x14ac:dyDescent="0.3">
      <c r="H251" s="133" t="str" cm="1">
        <f t="array" ref="H251">_xlfn.IFS($F251="","FN",$E251="","",$E251&lt;&gt;"",$F251-$E251)</f>
        <v>FN</v>
      </c>
    </row>
    <row r="252" spans="8:8" x14ac:dyDescent="0.3">
      <c r="H252" s="133" t="str" cm="1">
        <f t="array" ref="H252">_xlfn.IFS($F252="","FN",$E252="","",$E252&lt;&gt;"",$F252-$E252)</f>
        <v>FN</v>
      </c>
    </row>
    <row r="253" spans="8:8" x14ac:dyDescent="0.3">
      <c r="H253" s="133" t="str" cm="1">
        <f t="array" ref="H253">_xlfn.IFS($F253="","FN",$E253="","",$E253&lt;&gt;"",$F253-$E253)</f>
        <v>FN</v>
      </c>
    </row>
    <row r="254" spans="8:8" x14ac:dyDescent="0.3">
      <c r="H254" s="133" t="str" cm="1">
        <f t="array" ref="H254">_xlfn.IFS($F254="","FN",$E254="","",$E254&lt;&gt;"",$F254-$E254)</f>
        <v>FN</v>
      </c>
    </row>
    <row r="255" spans="8:8" x14ac:dyDescent="0.3">
      <c r="H255" s="133" t="str" cm="1">
        <f t="array" ref="H255">_xlfn.IFS($F255="","FN",$E255="","",$E255&lt;&gt;"",$F255-$E255)</f>
        <v>FN</v>
      </c>
    </row>
    <row r="256" spans="8:8" x14ac:dyDescent="0.3">
      <c r="H256" s="133" t="str" cm="1">
        <f t="array" ref="H256">_xlfn.IFS($F256="","FN",$E256="","",$E256&lt;&gt;"",$F256-$E256)</f>
        <v>FN</v>
      </c>
    </row>
    <row r="257" spans="8:8" x14ac:dyDescent="0.3">
      <c r="H257" s="133" t="str" cm="1">
        <f t="array" ref="H257">_xlfn.IFS($F257="","FN",$E257="","",$E257&lt;&gt;"",$F257-$E257)</f>
        <v>FN</v>
      </c>
    </row>
    <row r="258" spans="8:8" x14ac:dyDescent="0.3">
      <c r="H258" s="133" t="str" cm="1">
        <f t="array" ref="H258">_xlfn.IFS($F258="","FN",$E258="","",$E258&lt;&gt;"",$F258-$E258)</f>
        <v>FN</v>
      </c>
    </row>
    <row r="259" spans="8:8" x14ac:dyDescent="0.3">
      <c r="H259" s="133" t="str" cm="1">
        <f t="array" ref="H259">_xlfn.IFS($F259="","FN",$E259="","",$E259&lt;&gt;"",$F259-$E259)</f>
        <v>FN</v>
      </c>
    </row>
    <row r="260" spans="8:8" x14ac:dyDescent="0.3">
      <c r="H260" s="133" t="str" cm="1">
        <f t="array" ref="H260">_xlfn.IFS($F260="","FN",$E260="","",$E260&lt;&gt;"",$F260-$E260)</f>
        <v>FN</v>
      </c>
    </row>
    <row r="261" spans="8:8" x14ac:dyDescent="0.3">
      <c r="H261" s="133" t="str" cm="1">
        <f t="array" ref="H261">_xlfn.IFS($F261="","FN",$E261="","",$E261&lt;&gt;"",$F261-$E261)</f>
        <v>FN</v>
      </c>
    </row>
    <row r="262" spans="8:8" x14ac:dyDescent="0.3">
      <c r="H262" s="133" t="str" cm="1">
        <f t="array" ref="H262">_xlfn.IFS($F262="","FN",$E262="","",$E262&lt;&gt;"",$F262-$E262)</f>
        <v>FN</v>
      </c>
    </row>
    <row r="263" spans="8:8" x14ac:dyDescent="0.3">
      <c r="H263" s="133" t="str" cm="1">
        <f t="array" ref="H263">_xlfn.IFS($F263="","FN",$E263="","",$E263&lt;&gt;"",$F263-$E263)</f>
        <v>FN</v>
      </c>
    </row>
    <row r="264" spans="8:8" x14ac:dyDescent="0.3">
      <c r="H264" s="133" t="str" cm="1">
        <f t="array" ref="H264">_xlfn.IFS($F264="","FN",$E264="","",$E264&lt;&gt;"",$F264-$E264)</f>
        <v>FN</v>
      </c>
    </row>
    <row r="265" spans="8:8" x14ac:dyDescent="0.3">
      <c r="H265" s="133" t="str" cm="1">
        <f t="array" ref="H265">_xlfn.IFS($F265="","FN",$E265="","",$E265&lt;&gt;"",$F265-$E265)</f>
        <v>FN</v>
      </c>
    </row>
    <row r="266" spans="8:8" x14ac:dyDescent="0.3">
      <c r="H266" s="133" t="str" cm="1">
        <f t="array" ref="H266">_xlfn.IFS($F266="","FN",$E266="","",$E266&lt;&gt;"",$F266-$E266)</f>
        <v>FN</v>
      </c>
    </row>
    <row r="267" spans="8:8" x14ac:dyDescent="0.3">
      <c r="H267" s="133" t="str" cm="1">
        <f t="array" ref="H267">_xlfn.IFS($F267="","FN",$E267="","",$E267&lt;&gt;"",$F267-$E267)</f>
        <v>FN</v>
      </c>
    </row>
    <row r="268" spans="8:8" x14ac:dyDescent="0.3">
      <c r="H268" s="133" t="str" cm="1">
        <f t="array" ref="H268">_xlfn.IFS($F268="","FN",$E268="","",$E268&lt;&gt;"",$F268-$E268)</f>
        <v>FN</v>
      </c>
    </row>
    <row r="269" spans="8:8" x14ac:dyDescent="0.3">
      <c r="H269" s="133" t="str" cm="1">
        <f t="array" ref="H269">_xlfn.IFS($F269="","FN",$E269="","",$E269&lt;&gt;"",$F269-$E269)</f>
        <v>FN</v>
      </c>
    </row>
    <row r="270" spans="8:8" x14ac:dyDescent="0.3">
      <c r="H270" s="133" t="str" cm="1">
        <f t="array" ref="H270">_xlfn.IFS($F270="","FN",$E270="","",$E270&lt;&gt;"",$F270-$E270)</f>
        <v>FN</v>
      </c>
    </row>
    <row r="271" spans="8:8" x14ac:dyDescent="0.3">
      <c r="H271" s="133" t="str" cm="1">
        <f t="array" ref="H271">_xlfn.IFS($F271="","FN",$E271="","",$E271&lt;&gt;"",$F271-$E271)</f>
        <v>FN</v>
      </c>
    </row>
    <row r="272" spans="8:8" x14ac:dyDescent="0.3">
      <c r="H272" s="133" t="str" cm="1">
        <f t="array" ref="H272">_xlfn.IFS($F272="","FN",$E272="","",$E272&lt;&gt;"",$F272-$E272)</f>
        <v>FN</v>
      </c>
    </row>
    <row r="273" spans="8:8" x14ac:dyDescent="0.3">
      <c r="H273" s="133" t="str" cm="1">
        <f t="array" ref="H273">_xlfn.IFS($F273="","FN",$E273="","",$E273&lt;&gt;"",$F273-$E273)</f>
        <v>FN</v>
      </c>
    </row>
    <row r="274" spans="8:8" x14ac:dyDescent="0.3">
      <c r="H274" s="133" t="str" cm="1">
        <f t="array" ref="H274">_xlfn.IFS($F274="","FN",$E274="","",$E274&lt;&gt;"",$F274-$E274)</f>
        <v>FN</v>
      </c>
    </row>
    <row r="275" spans="8:8" x14ac:dyDescent="0.3">
      <c r="H275" s="133" t="str" cm="1">
        <f t="array" ref="H275">_xlfn.IFS($F275="","FN",$E275="","",$E275&lt;&gt;"",$F275-$E275)</f>
        <v>FN</v>
      </c>
    </row>
    <row r="276" spans="8:8" x14ac:dyDescent="0.3">
      <c r="H276" s="133" t="str" cm="1">
        <f t="array" ref="H276">_xlfn.IFS($F276="","FN",$E276="","",$E276&lt;&gt;"",$F276-$E276)</f>
        <v>FN</v>
      </c>
    </row>
    <row r="277" spans="8:8" x14ac:dyDescent="0.3">
      <c r="H277" s="133" t="str" cm="1">
        <f t="array" ref="H277">_xlfn.IFS($F277="","FN",$E277="","",$E277&lt;&gt;"",$F277-$E277)</f>
        <v>FN</v>
      </c>
    </row>
    <row r="278" spans="8:8" x14ac:dyDescent="0.3">
      <c r="H278" s="133" t="str" cm="1">
        <f t="array" ref="H278">_xlfn.IFS($F278="","FN",$E278="","",$E278&lt;&gt;"",$F278-$E278)</f>
        <v>FN</v>
      </c>
    </row>
    <row r="279" spans="8:8" x14ac:dyDescent="0.3">
      <c r="H279" s="133" t="str" cm="1">
        <f t="array" ref="H279">_xlfn.IFS($F279="","FN",$E279="","",$E279&lt;&gt;"",$F279-$E279)</f>
        <v>FN</v>
      </c>
    </row>
    <row r="280" spans="8:8" x14ac:dyDescent="0.3">
      <c r="H280" s="133" t="str" cm="1">
        <f t="array" ref="H280">_xlfn.IFS($F280="","FN",$E280="","",$E280&lt;&gt;"",$F280-$E280)</f>
        <v>FN</v>
      </c>
    </row>
    <row r="281" spans="8:8" x14ac:dyDescent="0.3">
      <c r="H281" s="133" t="str" cm="1">
        <f t="array" ref="H281">_xlfn.IFS($F281="","FN",$E281="","",$E281&lt;&gt;"",$F281-$E281)</f>
        <v>FN</v>
      </c>
    </row>
    <row r="282" spans="8:8" x14ac:dyDescent="0.3">
      <c r="H282" s="133" t="str" cm="1">
        <f t="array" ref="H282">_xlfn.IFS($F282="","FN",$E282="","",$E282&lt;&gt;"",$F282-$E282)</f>
        <v>FN</v>
      </c>
    </row>
    <row r="283" spans="8:8" x14ac:dyDescent="0.3">
      <c r="H283" s="133" t="str" cm="1">
        <f t="array" ref="H283">_xlfn.IFS($F283="","FN",$E283="","",$E283&lt;&gt;"",$F283-$E283)</f>
        <v>FN</v>
      </c>
    </row>
    <row r="284" spans="8:8" x14ac:dyDescent="0.3">
      <c r="H284" s="133" t="str" cm="1">
        <f t="array" ref="H284">_xlfn.IFS($F284="","FN",$E284="","",$E284&lt;&gt;"",$F284-$E284)</f>
        <v>FN</v>
      </c>
    </row>
    <row r="285" spans="8:8" x14ac:dyDescent="0.3">
      <c r="H285" s="133" t="str" cm="1">
        <f t="array" ref="H285">_xlfn.IFS($F285="","FN",$E285="","",$E285&lt;&gt;"",$F285-$E285)</f>
        <v>FN</v>
      </c>
    </row>
    <row r="286" spans="8:8" x14ac:dyDescent="0.3">
      <c r="H286" s="133" t="str" cm="1">
        <f t="array" ref="H286">_xlfn.IFS($F286="","FN",$E286="","",$E286&lt;&gt;"",$F286-$E286)</f>
        <v>FN</v>
      </c>
    </row>
    <row r="287" spans="8:8" x14ac:dyDescent="0.3">
      <c r="H287" s="133" t="str" cm="1">
        <f t="array" ref="H287">_xlfn.IFS($F287="","FN",$E287="","",$E287&lt;&gt;"",$F287-$E287)</f>
        <v>FN</v>
      </c>
    </row>
    <row r="288" spans="8:8" x14ac:dyDescent="0.3">
      <c r="H288" s="133" t="str" cm="1">
        <f t="array" ref="H288">_xlfn.IFS($F288="","FN",$E288="","",$E288&lt;&gt;"",$F288-$E288)</f>
        <v>FN</v>
      </c>
    </row>
    <row r="289" spans="8:8" x14ac:dyDescent="0.3">
      <c r="H289" s="133" t="str" cm="1">
        <f t="array" ref="H289">_xlfn.IFS($F289="","FN",$E289="","",$E289&lt;&gt;"",$F289-$E289)</f>
        <v>FN</v>
      </c>
    </row>
    <row r="290" spans="8:8" x14ac:dyDescent="0.3">
      <c r="H290" s="133" t="str" cm="1">
        <f t="array" ref="H290">_xlfn.IFS($F290="","FN",$E290="","",$E290&lt;&gt;"",$F290-$E290)</f>
        <v>FN</v>
      </c>
    </row>
    <row r="291" spans="8:8" x14ac:dyDescent="0.3">
      <c r="H291" s="133" t="str" cm="1">
        <f t="array" ref="H291">_xlfn.IFS($F291="","FN",$E291="","",$E291&lt;&gt;"",$F291-$E291)</f>
        <v>FN</v>
      </c>
    </row>
    <row r="292" spans="8:8" x14ac:dyDescent="0.3">
      <c r="H292" s="133" t="str" cm="1">
        <f t="array" ref="H292">_xlfn.IFS($F292="","FN",$E292="","",$E292&lt;&gt;"",$F292-$E292)</f>
        <v>FN</v>
      </c>
    </row>
    <row r="293" spans="8:8" x14ac:dyDescent="0.3">
      <c r="H293" s="133" t="str" cm="1">
        <f t="array" ref="H293">_xlfn.IFS($F293="","FN",$E293="","",$E293&lt;&gt;"",$F293-$E293)</f>
        <v>FN</v>
      </c>
    </row>
    <row r="294" spans="8:8" x14ac:dyDescent="0.3">
      <c r="H294" s="133" t="str" cm="1">
        <f t="array" ref="H294">_xlfn.IFS($F294="","FN",$E294="","",$E294&lt;&gt;"",$F294-$E294)</f>
        <v>FN</v>
      </c>
    </row>
    <row r="295" spans="8:8" x14ac:dyDescent="0.3">
      <c r="H295" s="133" t="str" cm="1">
        <f t="array" ref="H295">_xlfn.IFS($F295="","FN",$E295="","",$E295&lt;&gt;"",$F295-$E295)</f>
        <v>FN</v>
      </c>
    </row>
    <row r="296" spans="8:8" x14ac:dyDescent="0.3">
      <c r="H296" s="133" t="str" cm="1">
        <f t="array" ref="H296">_xlfn.IFS($F296="","FN",$E296="","",$E296&lt;&gt;"",$F296-$E296)</f>
        <v>FN</v>
      </c>
    </row>
    <row r="297" spans="8:8" x14ac:dyDescent="0.3">
      <c r="H297" s="133" t="str" cm="1">
        <f t="array" ref="H297">_xlfn.IFS($F297="","FN",$E297="","",$E297&lt;&gt;"",$F297-$E297)</f>
        <v>FN</v>
      </c>
    </row>
    <row r="298" spans="8:8" x14ac:dyDescent="0.3">
      <c r="H298" s="133" t="str" cm="1">
        <f t="array" ref="H298">_xlfn.IFS($F298="","FN",$E298="","",$E298&lt;&gt;"",$F298-$E298)</f>
        <v>FN</v>
      </c>
    </row>
    <row r="299" spans="8:8" x14ac:dyDescent="0.3">
      <c r="H299" s="133" t="str" cm="1">
        <f t="array" ref="H299">_xlfn.IFS($F299="","FN",$E299="","",$E299&lt;&gt;"",$F299-$E299)</f>
        <v>FN</v>
      </c>
    </row>
    <row r="300" spans="8:8" x14ac:dyDescent="0.3">
      <c r="H300" s="133" t="str" cm="1">
        <f t="array" ref="H300">_xlfn.IFS($F300="","FN",$E300="","",$E300&lt;&gt;"",$F300-$E300)</f>
        <v>FN</v>
      </c>
    </row>
    <row r="301" spans="8:8" x14ac:dyDescent="0.3">
      <c r="H301" s="133" t="str">
        <f t="shared" ref="H301:H303" si="0">IF($E301="","",F301-E301)</f>
        <v/>
      </c>
    </row>
    <row r="302" spans="8:8" x14ac:dyDescent="0.3">
      <c r="H302" s="133" t="str">
        <f t="shared" si="0"/>
        <v/>
      </c>
    </row>
    <row r="303" spans="8:8" x14ac:dyDescent="0.3">
      <c r="H303" s="133" t="str">
        <f t="shared" si="0"/>
        <v/>
      </c>
    </row>
  </sheetData>
  <mergeCells count="6">
    <mergeCell ref="A20:B20"/>
    <mergeCell ref="I1:J1"/>
    <mergeCell ref="K1:P1"/>
    <mergeCell ref="I2:J2"/>
    <mergeCell ref="A19:B19"/>
    <mergeCell ref="C19:H19"/>
  </mergeCells>
  <pageMargins left="0.7" right="0.7" top="0.75" bottom="0.75" header="0.3" footer="0.3"/>
  <pageSetup scale="80" orientation="landscape" verticalDpi="0"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67" zoomScaleNormal="100" workbookViewId="0">
      <selection activeCell="B84" sqref="B84:D87"/>
    </sheetView>
  </sheetViews>
  <sheetFormatPr defaultColWidth="41" defaultRowHeight="14.4" x14ac:dyDescent="0.3"/>
  <cols>
    <col min="1" max="1" width="6.33203125" customWidth="1"/>
    <col min="2" max="2" width="35.109375" style="34" customWidth="1"/>
    <col min="3" max="3" width="64.5546875" customWidth="1"/>
    <col min="4" max="4" width="54" customWidth="1"/>
    <col min="5" max="5" width="8.5546875" customWidth="1"/>
  </cols>
  <sheetData>
    <row r="1" spans="1:5" x14ac:dyDescent="0.3">
      <c r="A1" s="86"/>
      <c r="B1" s="89"/>
      <c r="C1" s="86"/>
      <c r="D1" s="86"/>
      <c r="E1" s="86"/>
    </row>
    <row r="2" spans="1:5" x14ac:dyDescent="0.3">
      <c r="A2" s="86"/>
      <c r="B2" s="89"/>
      <c r="C2" s="86"/>
      <c r="D2" s="86"/>
      <c r="E2" s="86"/>
    </row>
    <row r="3" spans="1:5" ht="18" customHeight="1" thickBot="1" x14ac:dyDescent="0.35">
      <c r="A3" s="86"/>
      <c r="B3" s="89"/>
      <c r="C3" s="86"/>
      <c r="D3" s="86"/>
      <c r="E3" s="86"/>
    </row>
    <row r="4" spans="1:5" ht="24" customHeight="1" thickTop="1" thickBot="1" x14ac:dyDescent="0.55000000000000004">
      <c r="A4" s="86"/>
      <c r="B4" s="176" t="s">
        <v>86</v>
      </c>
      <c r="C4" s="191"/>
      <c r="D4" s="192"/>
      <c r="E4" s="86"/>
    </row>
    <row r="5" spans="1:5" s="32" customFormat="1" ht="16.2" thickTop="1" x14ac:dyDescent="0.3">
      <c r="A5" s="87"/>
      <c r="B5" s="94" t="s">
        <v>85</v>
      </c>
      <c r="C5" s="95" t="s">
        <v>71</v>
      </c>
      <c r="D5" s="96" t="s">
        <v>73</v>
      </c>
      <c r="E5" s="87"/>
    </row>
    <row r="6" spans="1:5" ht="43.2" x14ac:dyDescent="0.3">
      <c r="A6" s="86"/>
      <c r="B6" s="70" t="s">
        <v>36</v>
      </c>
      <c r="C6" s="40" t="s">
        <v>74</v>
      </c>
      <c r="D6" s="42" t="s">
        <v>75</v>
      </c>
      <c r="E6" s="86"/>
    </row>
    <row r="7" spans="1:5" ht="43.2" x14ac:dyDescent="0.3">
      <c r="A7" s="86"/>
      <c r="B7" s="70" t="s">
        <v>76</v>
      </c>
      <c r="C7" s="40" t="s">
        <v>77</v>
      </c>
      <c r="D7" s="42" t="s">
        <v>78</v>
      </c>
      <c r="E7" s="86"/>
    </row>
    <row r="8" spans="1:5" ht="43.2" x14ac:dyDescent="0.3">
      <c r="A8" s="86"/>
      <c r="B8" s="70" t="s">
        <v>80</v>
      </c>
      <c r="C8" s="40" t="s">
        <v>79</v>
      </c>
      <c r="D8" s="42" t="s">
        <v>81</v>
      </c>
      <c r="E8" s="86"/>
    </row>
    <row r="9" spans="1:5" ht="58.2" thickBot="1" x14ac:dyDescent="0.35">
      <c r="A9" s="86"/>
      <c r="B9" s="97" t="s">
        <v>83</v>
      </c>
      <c r="C9" s="44" t="s">
        <v>82</v>
      </c>
      <c r="D9" s="98" t="s">
        <v>84</v>
      </c>
      <c r="E9" s="86"/>
    </row>
    <row r="10" spans="1:5" ht="15.6" thickTop="1" thickBot="1" x14ac:dyDescent="0.35">
      <c r="A10" s="86"/>
      <c r="B10" s="89"/>
      <c r="C10" s="90"/>
      <c r="D10" s="90"/>
      <c r="E10" s="86"/>
    </row>
    <row r="11" spans="1:5" ht="28.5" customHeight="1" thickTop="1" x14ac:dyDescent="0.5">
      <c r="A11" s="86"/>
      <c r="B11" s="193" t="s">
        <v>60</v>
      </c>
      <c r="C11" s="194"/>
      <c r="D11" s="195"/>
      <c r="E11" s="86"/>
    </row>
    <row r="12" spans="1:5" s="33" customFormat="1" ht="15.6" x14ac:dyDescent="0.3">
      <c r="A12" s="88"/>
      <c r="B12" s="75" t="s">
        <v>87</v>
      </c>
      <c r="C12" s="35" t="s">
        <v>71</v>
      </c>
      <c r="D12" s="76" t="s">
        <v>72</v>
      </c>
      <c r="E12" s="88"/>
    </row>
    <row r="13" spans="1:5" ht="40.5" customHeight="1" x14ac:dyDescent="0.3">
      <c r="A13" s="86"/>
      <c r="B13" s="77" t="s">
        <v>62</v>
      </c>
      <c r="C13" s="37" t="s">
        <v>61</v>
      </c>
      <c r="D13" s="78" t="s">
        <v>12</v>
      </c>
      <c r="E13" s="86"/>
    </row>
    <row r="14" spans="1:5" ht="45.9" customHeight="1" x14ac:dyDescent="0.3">
      <c r="A14" s="86"/>
      <c r="B14" s="77" t="s">
        <v>63</v>
      </c>
      <c r="C14" s="37" t="s">
        <v>67</v>
      </c>
      <c r="D14" s="78" t="s">
        <v>13</v>
      </c>
      <c r="E14" s="86"/>
    </row>
    <row r="15" spans="1:5" ht="33.6" x14ac:dyDescent="0.3">
      <c r="A15" s="86"/>
      <c r="B15" s="77" t="s">
        <v>64</v>
      </c>
      <c r="C15" s="37" t="s">
        <v>68</v>
      </c>
      <c r="D15" s="78" t="s">
        <v>14</v>
      </c>
      <c r="E15" s="86"/>
    </row>
    <row r="16" spans="1:5" ht="43.2" x14ac:dyDescent="0.3">
      <c r="A16" s="86"/>
      <c r="B16" s="77" t="s">
        <v>65</v>
      </c>
      <c r="C16" s="37" t="s">
        <v>69</v>
      </c>
      <c r="D16" s="79" t="s">
        <v>15</v>
      </c>
      <c r="E16" s="86"/>
    </row>
    <row r="17" spans="1:5" ht="51.9" customHeight="1" thickBot="1" x14ac:dyDescent="0.35">
      <c r="A17" s="86"/>
      <c r="B17" s="80" t="s">
        <v>66</v>
      </c>
      <c r="C17" s="81" t="s">
        <v>70</v>
      </c>
      <c r="D17" s="82" t="s">
        <v>16</v>
      </c>
      <c r="E17" s="86"/>
    </row>
    <row r="18" spans="1:5" ht="17.100000000000001" customHeight="1" thickTop="1" thickBot="1" x14ac:dyDescent="0.35">
      <c r="A18" s="86"/>
      <c r="B18" s="91"/>
      <c r="C18" s="90"/>
      <c r="D18" s="92"/>
      <c r="E18" s="86"/>
    </row>
    <row r="19" spans="1:5" ht="17.100000000000001" customHeight="1" thickTop="1" x14ac:dyDescent="0.5">
      <c r="A19" s="86"/>
      <c r="B19" s="236" t="s">
        <v>17</v>
      </c>
      <c r="C19" s="237"/>
      <c r="D19" s="238"/>
      <c r="E19" s="86"/>
    </row>
    <row r="20" spans="1:5" ht="38.1" customHeight="1" thickBot="1" x14ac:dyDescent="0.35">
      <c r="A20" s="86"/>
      <c r="B20" s="239" t="s">
        <v>202</v>
      </c>
      <c r="C20" s="240"/>
      <c r="D20" s="241"/>
      <c r="E20" s="86"/>
    </row>
    <row r="21" spans="1:5" ht="38.1" customHeight="1" thickTop="1" x14ac:dyDescent="0.3">
      <c r="A21" s="86"/>
      <c r="B21" s="83" t="s">
        <v>165</v>
      </c>
      <c r="C21" s="84" t="s">
        <v>71</v>
      </c>
      <c r="D21" s="85" t="s">
        <v>73</v>
      </c>
      <c r="E21" s="86"/>
    </row>
    <row r="22" spans="1:5" ht="33.6" customHeight="1" x14ac:dyDescent="0.3">
      <c r="A22" s="86"/>
      <c r="B22" s="242" t="s">
        <v>162</v>
      </c>
      <c r="C22" s="74" t="s">
        <v>163</v>
      </c>
      <c r="D22" s="243" t="s">
        <v>176</v>
      </c>
      <c r="E22" s="86"/>
    </row>
    <row r="23" spans="1:5" ht="17.100000000000001" customHeight="1" x14ac:dyDescent="0.3">
      <c r="A23" s="86"/>
      <c r="B23" s="228"/>
      <c r="C23" s="40" t="s">
        <v>164</v>
      </c>
      <c r="D23" s="244"/>
      <c r="E23" s="86"/>
    </row>
    <row r="24" spans="1:5" ht="17.100000000000001" customHeight="1" x14ac:dyDescent="0.3">
      <c r="A24" s="86"/>
      <c r="B24" s="228" t="s">
        <v>166</v>
      </c>
      <c r="C24" s="73" t="s">
        <v>167</v>
      </c>
      <c r="D24" s="245" t="s">
        <v>170</v>
      </c>
      <c r="E24" s="86"/>
    </row>
    <row r="25" spans="1:5" ht="17.100000000000001" customHeight="1" x14ac:dyDescent="0.3">
      <c r="A25" s="86"/>
      <c r="B25" s="228"/>
      <c r="C25" s="73" t="s">
        <v>169</v>
      </c>
      <c r="D25" s="246"/>
      <c r="E25" s="86"/>
    </row>
    <row r="26" spans="1:5" ht="17.100000000000001" customHeight="1" x14ac:dyDescent="0.3">
      <c r="A26" s="86"/>
      <c r="B26" s="228"/>
      <c r="C26" s="73" t="s">
        <v>168</v>
      </c>
      <c r="D26" s="246"/>
      <c r="E26" s="86"/>
    </row>
    <row r="27" spans="1:5" ht="17.100000000000001" customHeight="1" x14ac:dyDescent="0.3">
      <c r="A27" s="86"/>
      <c r="B27" s="228" t="s">
        <v>171</v>
      </c>
      <c r="C27" s="229" t="s">
        <v>172</v>
      </c>
      <c r="D27" s="41" t="s">
        <v>173</v>
      </c>
      <c r="E27" s="86"/>
    </row>
    <row r="28" spans="1:5" ht="17.100000000000001" customHeight="1" x14ac:dyDescent="0.3">
      <c r="A28" s="86"/>
      <c r="B28" s="228"/>
      <c r="C28" s="229"/>
      <c r="D28" s="41" t="s">
        <v>174</v>
      </c>
      <c r="E28" s="86"/>
    </row>
    <row r="29" spans="1:5" ht="37.5" customHeight="1" x14ac:dyDescent="0.3">
      <c r="A29" s="86"/>
      <c r="B29" s="39" t="s">
        <v>21</v>
      </c>
      <c r="C29" s="40" t="s">
        <v>175</v>
      </c>
      <c r="D29" s="41" t="s">
        <v>177</v>
      </c>
      <c r="E29" s="86"/>
    </row>
    <row r="30" spans="1:5" ht="17.100000000000001" customHeight="1" x14ac:dyDescent="0.3">
      <c r="A30" s="86"/>
      <c r="B30" s="39" t="s">
        <v>22</v>
      </c>
      <c r="C30" s="40" t="s">
        <v>178</v>
      </c>
      <c r="D30" s="41" t="s">
        <v>181</v>
      </c>
      <c r="E30" s="86"/>
    </row>
    <row r="31" spans="1:5" ht="17.100000000000001" customHeight="1" thickBot="1" x14ac:dyDescent="0.35">
      <c r="A31" s="86"/>
      <c r="B31" s="43" t="s">
        <v>179</v>
      </c>
      <c r="C31" s="44" t="s">
        <v>180</v>
      </c>
      <c r="D31" s="45" t="s">
        <v>182</v>
      </c>
      <c r="E31" s="86"/>
    </row>
    <row r="32" spans="1:5" ht="17.100000000000001" customHeight="1" thickTop="1" thickBot="1" x14ac:dyDescent="0.35">
      <c r="A32" s="86"/>
      <c r="B32" s="91"/>
      <c r="C32" s="90"/>
      <c r="D32" s="92"/>
      <c r="E32" s="86"/>
    </row>
    <row r="33" spans="1:5" ht="54" customHeight="1" thickTop="1" thickBot="1" x14ac:dyDescent="0.55000000000000004">
      <c r="A33" s="86"/>
      <c r="B33" s="196" t="s">
        <v>89</v>
      </c>
      <c r="C33" s="197"/>
      <c r="D33" s="198"/>
      <c r="E33" s="86"/>
    </row>
    <row r="34" spans="1:5" ht="29.1" customHeight="1" thickTop="1" thickBot="1" x14ac:dyDescent="0.35">
      <c r="A34" s="86"/>
      <c r="B34" s="199" t="s">
        <v>101</v>
      </c>
      <c r="C34" s="200"/>
      <c r="D34" s="201"/>
      <c r="E34" s="88"/>
    </row>
    <row r="35" spans="1:5" ht="15.6" thickTop="1" thickBot="1" x14ac:dyDescent="0.35">
      <c r="A35" s="86"/>
      <c r="B35" s="53" t="s">
        <v>90</v>
      </c>
      <c r="C35" s="54" t="s">
        <v>92</v>
      </c>
      <c r="D35" s="55" t="s">
        <v>93</v>
      </c>
      <c r="E35" s="86"/>
    </row>
    <row r="36" spans="1:5" ht="43.8" thickTop="1" x14ac:dyDescent="0.3">
      <c r="A36" s="86"/>
      <c r="B36" s="50" t="s">
        <v>88</v>
      </c>
      <c r="C36" s="51" t="s">
        <v>91</v>
      </c>
      <c r="D36" s="52" t="s">
        <v>94</v>
      </c>
      <c r="E36" s="86"/>
    </row>
    <row r="37" spans="1:5" ht="28.8" x14ac:dyDescent="0.3">
      <c r="A37" s="86"/>
      <c r="B37" s="36" t="s">
        <v>95</v>
      </c>
      <c r="C37" s="46" t="s">
        <v>97</v>
      </c>
      <c r="D37" s="47" t="s">
        <v>96</v>
      </c>
      <c r="E37" s="86"/>
    </row>
    <row r="38" spans="1:5" ht="30.9" customHeight="1" thickBot="1" x14ac:dyDescent="0.35">
      <c r="A38" s="86"/>
      <c r="B38" s="38" t="s">
        <v>99</v>
      </c>
      <c r="C38" s="48" t="s">
        <v>98</v>
      </c>
      <c r="D38" s="49" t="s">
        <v>100</v>
      </c>
      <c r="E38" s="86"/>
    </row>
    <row r="39" spans="1:5" ht="30.9" customHeight="1" thickTop="1" thickBot="1" x14ac:dyDescent="0.35">
      <c r="A39" s="86"/>
      <c r="B39" s="202" t="s">
        <v>121</v>
      </c>
      <c r="C39" s="203"/>
      <c r="D39" s="204"/>
      <c r="E39" s="86"/>
    </row>
    <row r="40" spans="1:5" ht="37.5" customHeight="1" thickTop="1" thickBot="1" x14ac:dyDescent="0.55000000000000004">
      <c r="A40" s="86"/>
      <c r="B40" s="208" t="s">
        <v>125</v>
      </c>
      <c r="C40" s="209"/>
      <c r="D40" s="209"/>
      <c r="E40" s="86"/>
    </row>
    <row r="41" spans="1:5" ht="17.399999999999999" customHeight="1" thickTop="1" x14ac:dyDescent="0.3">
      <c r="A41" s="86"/>
      <c r="B41" s="216" t="s">
        <v>131</v>
      </c>
      <c r="C41" s="210" t="s">
        <v>126</v>
      </c>
      <c r="D41" s="211"/>
      <c r="E41" s="86"/>
    </row>
    <row r="42" spans="1:5" ht="19.5" customHeight="1" x14ac:dyDescent="0.3">
      <c r="A42" s="86"/>
      <c r="B42" s="217"/>
      <c r="C42" s="214" t="s">
        <v>127</v>
      </c>
      <c r="D42" s="215"/>
      <c r="E42" s="86"/>
    </row>
    <row r="43" spans="1:5" ht="15" customHeight="1" x14ac:dyDescent="0.3">
      <c r="A43" s="86"/>
      <c r="B43" s="217"/>
      <c r="C43" s="214" t="s">
        <v>128</v>
      </c>
      <c r="D43" s="215"/>
      <c r="E43" s="86"/>
    </row>
    <row r="44" spans="1:5" ht="17.100000000000001" customHeight="1" x14ac:dyDescent="0.3">
      <c r="A44" s="86"/>
      <c r="B44" s="217"/>
      <c r="C44" s="214" t="s">
        <v>129</v>
      </c>
      <c r="D44" s="215"/>
      <c r="E44" s="86"/>
    </row>
    <row r="45" spans="1:5" ht="18" customHeight="1" thickBot="1" x14ac:dyDescent="0.35">
      <c r="A45" s="86"/>
      <c r="B45" s="218"/>
      <c r="C45" s="212" t="s">
        <v>130</v>
      </c>
      <c r="D45" s="213"/>
      <c r="E45" s="86"/>
    </row>
    <row r="46" spans="1:5" ht="18" customHeight="1" thickTop="1" x14ac:dyDescent="0.3">
      <c r="A46" s="86"/>
      <c r="B46" s="216" t="s">
        <v>136</v>
      </c>
      <c r="C46" s="210" t="s">
        <v>132</v>
      </c>
      <c r="D46" s="211"/>
      <c r="E46" s="86"/>
    </row>
    <row r="47" spans="1:5" ht="13.5" customHeight="1" x14ac:dyDescent="0.3">
      <c r="A47" s="86"/>
      <c r="B47" s="217"/>
      <c r="C47" s="214" t="s">
        <v>133</v>
      </c>
      <c r="D47" s="215"/>
      <c r="E47" s="86"/>
    </row>
    <row r="48" spans="1:5" ht="15.6" customHeight="1" x14ac:dyDescent="0.3">
      <c r="A48" s="86"/>
      <c r="B48" s="217"/>
      <c r="C48" s="214" t="s">
        <v>134</v>
      </c>
      <c r="D48" s="215"/>
      <c r="E48" s="86"/>
    </row>
    <row r="49" spans="1:5" ht="21.6" customHeight="1" thickBot="1" x14ac:dyDescent="0.35">
      <c r="A49" s="86"/>
      <c r="B49" s="218"/>
      <c r="C49" s="212" t="s">
        <v>135</v>
      </c>
      <c r="D49" s="213"/>
      <c r="E49" s="86"/>
    </row>
    <row r="50" spans="1:5" ht="17.100000000000001" customHeight="1" thickTop="1" x14ac:dyDescent="0.3">
      <c r="A50" s="86"/>
      <c r="B50" s="225" t="s">
        <v>141</v>
      </c>
      <c r="C50" s="219" t="s">
        <v>137</v>
      </c>
      <c r="D50" s="220"/>
      <c r="E50" s="86"/>
    </row>
    <row r="51" spans="1:5" ht="18.600000000000001" customHeight="1" x14ac:dyDescent="0.3">
      <c r="A51" s="86"/>
      <c r="B51" s="226"/>
      <c r="C51" s="221" t="s">
        <v>138</v>
      </c>
      <c r="D51" s="222"/>
      <c r="E51" s="86"/>
    </row>
    <row r="52" spans="1:5" ht="17.399999999999999" customHeight="1" x14ac:dyDescent="0.3">
      <c r="A52" s="86"/>
      <c r="B52" s="226"/>
      <c r="C52" s="221" t="s">
        <v>139</v>
      </c>
      <c r="D52" s="222"/>
      <c r="E52" s="86"/>
    </row>
    <row r="53" spans="1:5" ht="19.5" customHeight="1" thickBot="1" x14ac:dyDescent="0.35">
      <c r="A53" s="86"/>
      <c r="B53" s="227"/>
      <c r="C53" s="223" t="s">
        <v>140</v>
      </c>
      <c r="D53" s="224"/>
      <c r="E53" s="86"/>
    </row>
    <row r="54" spans="1:5" ht="18" customHeight="1" thickTop="1" x14ac:dyDescent="0.3">
      <c r="A54" s="86"/>
      <c r="B54" s="225" t="s">
        <v>146</v>
      </c>
      <c r="C54" s="219" t="s">
        <v>142</v>
      </c>
      <c r="D54" s="220"/>
      <c r="E54" s="86"/>
    </row>
    <row r="55" spans="1:5" ht="14.4" customHeight="1" x14ac:dyDescent="0.3">
      <c r="A55" s="86"/>
      <c r="B55" s="226"/>
      <c r="C55" s="221" t="s">
        <v>143</v>
      </c>
      <c r="D55" s="222"/>
      <c r="E55" s="86"/>
    </row>
    <row r="56" spans="1:5" ht="16.5" customHeight="1" x14ac:dyDescent="0.3">
      <c r="A56" s="86"/>
      <c r="B56" s="226"/>
      <c r="C56" s="221" t="s">
        <v>144</v>
      </c>
      <c r="D56" s="222"/>
      <c r="E56" s="86"/>
    </row>
    <row r="57" spans="1:5" ht="18.899999999999999" customHeight="1" thickBot="1" x14ac:dyDescent="0.35">
      <c r="A57" s="86"/>
      <c r="B57" s="227"/>
      <c r="C57" s="223" t="s">
        <v>145</v>
      </c>
      <c r="D57" s="224"/>
      <c r="E57" s="86"/>
    </row>
    <row r="58" spans="1:5" ht="16.5" customHeight="1" thickTop="1" x14ac:dyDescent="0.3">
      <c r="A58" s="86"/>
      <c r="B58" s="225" t="s">
        <v>151</v>
      </c>
      <c r="C58" s="219" t="s">
        <v>147</v>
      </c>
      <c r="D58" s="220"/>
      <c r="E58" s="86"/>
    </row>
    <row r="59" spans="1:5" ht="17.100000000000001" customHeight="1" x14ac:dyDescent="0.3">
      <c r="A59" s="86"/>
      <c r="B59" s="226"/>
      <c r="C59" s="221" t="s">
        <v>148</v>
      </c>
      <c r="D59" s="222"/>
      <c r="E59" s="86"/>
    </row>
    <row r="60" spans="1:5" ht="17.100000000000001" customHeight="1" x14ac:dyDescent="0.3">
      <c r="A60" s="86"/>
      <c r="B60" s="226"/>
      <c r="C60" s="221" t="s">
        <v>149</v>
      </c>
      <c r="D60" s="222"/>
      <c r="E60" s="86"/>
    </row>
    <row r="61" spans="1:5" ht="15" customHeight="1" thickBot="1" x14ac:dyDescent="0.35">
      <c r="A61" s="86"/>
      <c r="B61" s="227"/>
      <c r="C61" s="223" t="s">
        <v>150</v>
      </c>
      <c r="D61" s="224"/>
      <c r="E61" s="86"/>
    </row>
    <row r="62" spans="1:5" ht="17.399999999999999" customHeight="1" thickTop="1" x14ac:dyDescent="0.3">
      <c r="A62" s="86"/>
      <c r="B62" s="216" t="s">
        <v>156</v>
      </c>
      <c r="C62" s="210" t="s">
        <v>152</v>
      </c>
      <c r="D62" s="211"/>
      <c r="E62" s="86"/>
    </row>
    <row r="63" spans="1:5" ht="14.4" customHeight="1" x14ac:dyDescent="0.3">
      <c r="A63" s="86"/>
      <c r="B63" s="217"/>
      <c r="C63" s="214" t="s">
        <v>153</v>
      </c>
      <c r="D63" s="215"/>
      <c r="E63" s="86"/>
    </row>
    <row r="64" spans="1:5" ht="15.6" customHeight="1" x14ac:dyDescent="0.3">
      <c r="A64" s="86"/>
      <c r="B64" s="217"/>
      <c r="C64" s="214" t="s">
        <v>154</v>
      </c>
      <c r="D64" s="215"/>
      <c r="E64" s="86"/>
    </row>
    <row r="65" spans="1:5" ht="18" customHeight="1" thickBot="1" x14ac:dyDescent="0.35">
      <c r="A65" s="86"/>
      <c r="B65" s="218"/>
      <c r="C65" s="212" t="s">
        <v>155</v>
      </c>
      <c r="D65" s="213"/>
      <c r="E65" s="86"/>
    </row>
    <row r="66" spans="1:5" ht="19.5" customHeight="1" thickTop="1" x14ac:dyDescent="0.3">
      <c r="A66" s="86"/>
      <c r="B66" s="247" t="s">
        <v>161</v>
      </c>
      <c r="C66" s="219" t="s">
        <v>157</v>
      </c>
      <c r="D66" s="220"/>
      <c r="E66" s="86"/>
    </row>
    <row r="67" spans="1:5" ht="16.5" customHeight="1" x14ac:dyDescent="0.3">
      <c r="A67" s="86"/>
      <c r="B67" s="248"/>
      <c r="C67" s="221" t="s">
        <v>158</v>
      </c>
      <c r="D67" s="222"/>
      <c r="E67" s="86"/>
    </row>
    <row r="68" spans="1:5" ht="15.9" customHeight="1" x14ac:dyDescent="0.3">
      <c r="A68" s="86"/>
      <c r="B68" s="248"/>
      <c r="C68" s="221" t="s">
        <v>159</v>
      </c>
      <c r="D68" s="222"/>
      <c r="E68" s="86"/>
    </row>
    <row r="69" spans="1:5" ht="15" thickBot="1" x14ac:dyDescent="0.35">
      <c r="A69" s="86"/>
      <c r="B69" s="249"/>
      <c r="C69" s="223" t="s">
        <v>160</v>
      </c>
      <c r="D69" s="224"/>
      <c r="E69" s="86"/>
    </row>
    <row r="70" spans="1:5" ht="15.6" thickTop="1" thickBot="1" x14ac:dyDescent="0.35">
      <c r="A70" s="86"/>
      <c r="B70" s="93"/>
      <c r="C70" s="86"/>
      <c r="D70" s="86"/>
      <c r="E70" s="86"/>
    </row>
    <row r="71" spans="1:5" ht="26.4" thickTop="1" x14ac:dyDescent="0.5">
      <c r="A71" s="86"/>
      <c r="B71" s="230" t="s">
        <v>24</v>
      </c>
      <c r="C71" s="231"/>
      <c r="D71" s="232"/>
      <c r="E71" s="86"/>
    </row>
    <row r="72" spans="1:5" ht="38.1" customHeight="1" thickBot="1" x14ac:dyDescent="0.35">
      <c r="A72" s="86"/>
      <c r="B72" s="233" t="s">
        <v>192</v>
      </c>
      <c r="C72" s="234"/>
      <c r="D72" s="235"/>
      <c r="E72" s="86"/>
    </row>
    <row r="73" spans="1:5" ht="15" thickTop="1" x14ac:dyDescent="0.3">
      <c r="A73" s="86"/>
      <c r="B73" s="63" t="s">
        <v>183</v>
      </c>
      <c r="C73" s="68" t="s">
        <v>188</v>
      </c>
      <c r="D73" s="69" t="s">
        <v>194</v>
      </c>
      <c r="E73" s="86"/>
    </row>
    <row r="74" spans="1:5" x14ac:dyDescent="0.3">
      <c r="A74" s="86"/>
      <c r="B74" s="39" t="s">
        <v>184</v>
      </c>
      <c r="C74" s="64" t="s">
        <v>189</v>
      </c>
      <c r="D74" s="65" t="s">
        <v>195</v>
      </c>
      <c r="E74" s="86"/>
    </row>
    <row r="75" spans="1:5" x14ac:dyDescent="0.3">
      <c r="A75" s="86"/>
      <c r="B75" s="39" t="s">
        <v>185</v>
      </c>
      <c r="C75" s="64" t="s">
        <v>193</v>
      </c>
      <c r="D75" s="65"/>
      <c r="E75" s="86"/>
    </row>
    <row r="76" spans="1:5" x14ac:dyDescent="0.3">
      <c r="A76" s="86"/>
      <c r="B76" s="39" t="s">
        <v>186</v>
      </c>
      <c r="C76" s="64" t="s">
        <v>190</v>
      </c>
      <c r="D76" s="65"/>
      <c r="E76" s="86"/>
    </row>
    <row r="77" spans="1:5" ht="15" thickBot="1" x14ac:dyDescent="0.35">
      <c r="A77" s="86"/>
      <c r="B77" s="43" t="s">
        <v>187</v>
      </c>
      <c r="C77" s="66" t="s">
        <v>191</v>
      </c>
      <c r="D77" s="67" t="s">
        <v>196</v>
      </c>
      <c r="E77" s="86"/>
    </row>
    <row r="78" spans="1:5" ht="36.9" customHeight="1" thickTop="1" thickBot="1" x14ac:dyDescent="0.35">
      <c r="A78" s="86"/>
      <c r="B78" s="89"/>
      <c r="C78" s="86"/>
      <c r="D78" s="86"/>
      <c r="E78" s="86"/>
    </row>
    <row r="79" spans="1:5" ht="36.9" customHeight="1" thickTop="1" thickBot="1" x14ac:dyDescent="0.55000000000000004">
      <c r="A79" s="86"/>
      <c r="B79" s="205" t="s">
        <v>104</v>
      </c>
      <c r="C79" s="206"/>
      <c r="D79" s="207"/>
      <c r="E79" s="86"/>
    </row>
    <row r="80" spans="1:5" ht="15" customHeight="1" thickTop="1" thickBot="1" x14ac:dyDescent="0.35">
      <c r="A80" s="86"/>
      <c r="B80" s="202" t="s">
        <v>103</v>
      </c>
      <c r="C80" s="203"/>
      <c r="D80" s="204"/>
      <c r="E80" s="86"/>
    </row>
    <row r="81" spans="1:5" ht="14.4" customHeight="1" thickTop="1" thickBot="1" x14ac:dyDescent="0.35">
      <c r="A81" s="86"/>
      <c r="B81" s="89"/>
      <c r="C81" s="86"/>
      <c r="D81" s="86"/>
      <c r="E81" s="86"/>
    </row>
    <row r="82" spans="1:5" ht="30.9" customHeight="1" thickTop="1" thickBot="1" x14ac:dyDescent="0.55000000000000004">
      <c r="A82" s="86"/>
      <c r="B82" s="176" t="s">
        <v>107</v>
      </c>
      <c r="C82" s="177"/>
      <c r="D82" s="178"/>
      <c r="E82" s="86"/>
    </row>
    <row r="83" spans="1:5" ht="31.5" customHeight="1" thickTop="1" thickBot="1" x14ac:dyDescent="0.35">
      <c r="A83" s="86"/>
      <c r="B83" s="179" t="s">
        <v>108</v>
      </c>
      <c r="C83" s="180"/>
      <c r="D83" s="181"/>
      <c r="E83" s="86"/>
    </row>
    <row r="84" spans="1:5" ht="17.100000000000001" customHeight="1" thickTop="1" x14ac:dyDescent="0.3">
      <c r="A84" s="86"/>
      <c r="B84" s="71" t="s">
        <v>109</v>
      </c>
      <c r="C84" s="182" t="s">
        <v>113</v>
      </c>
      <c r="D84" s="183"/>
      <c r="E84" s="86"/>
    </row>
    <row r="85" spans="1:5" ht="36.9" customHeight="1" x14ac:dyDescent="0.3">
      <c r="A85" s="86"/>
      <c r="B85" s="70" t="s">
        <v>110</v>
      </c>
      <c r="C85" s="184" t="s">
        <v>114</v>
      </c>
      <c r="D85" s="185"/>
      <c r="E85" s="86"/>
    </row>
    <row r="86" spans="1:5" x14ac:dyDescent="0.3">
      <c r="A86" s="86"/>
      <c r="B86" s="70" t="s">
        <v>111</v>
      </c>
      <c r="C86" s="184" t="s">
        <v>115</v>
      </c>
      <c r="D86" s="185"/>
      <c r="E86" s="86"/>
    </row>
    <row r="87" spans="1:5" ht="15" thickBot="1" x14ac:dyDescent="0.35">
      <c r="A87" s="86"/>
      <c r="B87" s="72" t="s">
        <v>112</v>
      </c>
      <c r="C87" s="186" t="s">
        <v>116</v>
      </c>
      <c r="D87" s="187"/>
      <c r="E87" s="86"/>
    </row>
    <row r="88" spans="1:5" ht="32.4" customHeight="1" thickTop="1" thickBot="1" x14ac:dyDescent="0.35">
      <c r="A88" s="86"/>
      <c r="B88" s="188" t="s">
        <v>117</v>
      </c>
      <c r="C88" s="189"/>
      <c r="D88" s="190"/>
      <c r="E88" s="86"/>
    </row>
    <row r="89" spans="1:5" ht="15" thickTop="1" x14ac:dyDescent="0.3">
      <c r="A89" s="86"/>
      <c r="B89" s="89"/>
      <c r="C89" s="86"/>
      <c r="D89" s="86"/>
      <c r="E89" s="86"/>
    </row>
    <row r="90" spans="1:5" ht="26.4" thickBot="1" x14ac:dyDescent="0.55000000000000004">
      <c r="A90" s="86"/>
      <c r="B90" s="174" t="s">
        <v>106</v>
      </c>
      <c r="C90" s="175"/>
      <c r="D90" s="175"/>
      <c r="E90" s="86"/>
    </row>
    <row r="91" spans="1:5" ht="60" customHeight="1" thickTop="1" thickBot="1" x14ac:dyDescent="0.35">
      <c r="A91" s="86"/>
      <c r="B91" s="171" t="s">
        <v>105</v>
      </c>
      <c r="C91" s="172"/>
      <c r="D91" s="173"/>
      <c r="E91" s="86"/>
    </row>
    <row r="92" spans="1:5" ht="15" thickTop="1" x14ac:dyDescent="0.3">
      <c r="A92" s="86"/>
      <c r="B92" s="89"/>
      <c r="C92" s="86"/>
      <c r="D92" s="86"/>
      <c r="E92" s="86"/>
    </row>
    <row r="93" spans="1:5" x14ac:dyDescent="0.3">
      <c r="A93" s="86"/>
      <c r="B93" s="89"/>
      <c r="C93" s="86"/>
      <c r="D93" s="86"/>
      <c r="E93" s="86"/>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51" zoomScale="96" zoomScaleNormal="96" workbookViewId="0">
      <selection activeCell="D35" sqref="D35"/>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99"/>
      <c r="C2" s="109"/>
      <c r="D2" s="109"/>
      <c r="E2" s="100"/>
    </row>
    <row r="3" spans="2:5" ht="78.75" customHeight="1" x14ac:dyDescent="0.3">
      <c r="B3" s="102"/>
      <c r="C3" s="19"/>
      <c r="D3" s="21" t="s">
        <v>35</v>
      </c>
      <c r="E3" s="103"/>
    </row>
    <row r="4" spans="2:5" ht="66.75" customHeight="1" thickBot="1" x14ac:dyDescent="0.35">
      <c r="B4" s="102"/>
      <c r="C4" s="19"/>
      <c r="D4" s="19"/>
      <c r="E4" s="103"/>
    </row>
    <row r="5" spans="2:5" ht="27" thickTop="1" thickBot="1" x14ac:dyDescent="0.35">
      <c r="B5" s="102"/>
      <c r="C5" s="162" t="s">
        <v>1</v>
      </c>
      <c r="D5" s="163"/>
      <c r="E5" s="103"/>
    </row>
    <row r="6" spans="2:5" ht="18.600000000000001" thickTop="1" x14ac:dyDescent="0.35">
      <c r="B6" s="102"/>
      <c r="C6" s="118" t="s">
        <v>2</v>
      </c>
      <c r="D6" s="3" t="s">
        <v>38</v>
      </c>
      <c r="E6" s="103"/>
    </row>
    <row r="7" spans="2:5" ht="18" x14ac:dyDescent="0.35">
      <c r="B7" s="102"/>
      <c r="C7" s="115" t="s">
        <v>3</v>
      </c>
      <c r="D7" s="5" t="s">
        <v>36</v>
      </c>
      <c r="E7" s="103"/>
    </row>
    <row r="8" spans="2:5" ht="18" x14ac:dyDescent="0.35">
      <c r="B8" s="102"/>
      <c r="C8" s="116" t="s">
        <v>4</v>
      </c>
      <c r="D8" s="6" t="s">
        <v>37</v>
      </c>
      <c r="E8" s="103"/>
    </row>
    <row r="9" spans="2:5" ht="18" x14ac:dyDescent="0.35">
      <c r="B9" s="102"/>
      <c r="C9" s="116" t="s">
        <v>120</v>
      </c>
      <c r="D9" s="6" t="s">
        <v>197</v>
      </c>
      <c r="E9" s="103"/>
    </row>
    <row r="10" spans="2:5" ht="18" x14ac:dyDescent="0.35">
      <c r="B10" s="102"/>
      <c r="C10" s="116" t="s">
        <v>5</v>
      </c>
      <c r="D10" s="6" t="s">
        <v>39</v>
      </c>
      <c r="E10" s="103"/>
    </row>
    <row r="11" spans="2:5" ht="36" x14ac:dyDescent="0.35">
      <c r="B11" s="102"/>
      <c r="C11" s="116" t="s">
        <v>6</v>
      </c>
      <c r="D11" s="6" t="s">
        <v>40</v>
      </c>
      <c r="E11" s="103"/>
    </row>
    <row r="12" spans="2:5" ht="18" x14ac:dyDescent="0.35">
      <c r="B12" s="102"/>
      <c r="C12" s="119" t="s">
        <v>7</v>
      </c>
      <c r="D12" s="7" t="s">
        <v>9</v>
      </c>
      <c r="E12" s="103"/>
    </row>
    <row r="13" spans="2:5" s="1" customFormat="1" ht="26.4" thickBot="1" x14ac:dyDescent="0.4">
      <c r="B13" s="110"/>
      <c r="C13" s="117" t="s">
        <v>8</v>
      </c>
      <c r="D13" s="8" t="s">
        <v>41</v>
      </c>
      <c r="E13" s="106"/>
    </row>
    <row r="14" spans="2:5" s="1" customFormat="1" ht="60" customHeight="1" thickTop="1" thickBot="1" x14ac:dyDescent="0.35">
      <c r="B14" s="110"/>
      <c r="C14" s="19"/>
      <c r="D14" s="19"/>
      <c r="E14" s="107"/>
    </row>
    <row r="15" spans="2:5" ht="27" thickTop="1" thickBot="1" x14ac:dyDescent="0.35">
      <c r="B15" s="102"/>
      <c r="C15" s="158" t="s">
        <v>54</v>
      </c>
      <c r="D15" s="159"/>
      <c r="E15" s="103"/>
    </row>
    <row r="16" spans="2:5" ht="54.6" thickTop="1" x14ac:dyDescent="0.3">
      <c r="B16" s="102"/>
      <c r="C16" s="9" t="s">
        <v>0</v>
      </c>
      <c r="D16" s="10" t="s">
        <v>42</v>
      </c>
      <c r="E16" s="103"/>
    </row>
    <row r="17" spans="2:5" ht="18.600000000000001" thickBot="1" x14ac:dyDescent="0.4">
      <c r="B17" s="102"/>
      <c r="C17" s="11" t="s">
        <v>11</v>
      </c>
      <c r="D17" s="22" t="s">
        <v>43</v>
      </c>
      <c r="E17" s="103"/>
    </row>
    <row r="18" spans="2:5" ht="15.6" thickTop="1" thickBot="1" x14ac:dyDescent="0.35">
      <c r="B18" s="102"/>
      <c r="C18" s="19"/>
      <c r="D18" s="19"/>
      <c r="E18" s="103"/>
    </row>
    <row r="19" spans="2:5" ht="27" thickTop="1" thickBot="1" x14ac:dyDescent="0.55000000000000004">
      <c r="B19" s="102"/>
      <c r="C19" s="164" t="s">
        <v>17</v>
      </c>
      <c r="D19" s="165"/>
      <c r="E19" s="103"/>
    </row>
    <row r="20" spans="2:5" ht="18.600000000000001" thickTop="1" x14ac:dyDescent="0.35">
      <c r="B20" s="102"/>
      <c r="C20" s="115" t="s">
        <v>18</v>
      </c>
      <c r="D20" s="23" t="s">
        <v>55</v>
      </c>
      <c r="E20" s="103"/>
    </row>
    <row r="21" spans="2:5" ht="18" x14ac:dyDescent="0.35">
      <c r="B21" s="102"/>
      <c r="C21" s="116" t="s">
        <v>19</v>
      </c>
      <c r="D21" s="24" t="s">
        <v>44</v>
      </c>
      <c r="E21" s="103"/>
    </row>
    <row r="22" spans="2:5" ht="18" x14ac:dyDescent="0.35">
      <c r="B22" s="102"/>
      <c r="C22" s="116" t="s">
        <v>20</v>
      </c>
      <c r="D22" s="25">
        <v>1</v>
      </c>
      <c r="E22" s="103"/>
    </row>
    <row r="23" spans="2:5" ht="18" x14ac:dyDescent="0.35">
      <c r="B23" s="102"/>
      <c r="C23" s="116" t="s">
        <v>21</v>
      </c>
      <c r="D23" s="24" t="s">
        <v>56</v>
      </c>
      <c r="E23" s="103"/>
    </row>
    <row r="24" spans="2:5" ht="18" x14ac:dyDescent="0.35">
      <c r="B24" s="102"/>
      <c r="C24" s="116" t="s">
        <v>22</v>
      </c>
      <c r="D24" s="26" t="s">
        <v>45</v>
      </c>
      <c r="E24" s="103"/>
    </row>
    <row r="25" spans="2:5" ht="18.600000000000001" thickBot="1" x14ac:dyDescent="0.4">
      <c r="B25" s="102"/>
      <c r="C25" s="117" t="s">
        <v>23</v>
      </c>
      <c r="D25" s="22" t="s">
        <v>46</v>
      </c>
      <c r="E25" s="103"/>
    </row>
    <row r="26" spans="2:5" ht="19.2" thickTop="1" thickBot="1" x14ac:dyDescent="0.4">
      <c r="B26" s="102"/>
      <c r="C26" s="20"/>
      <c r="D26" s="19"/>
      <c r="E26" s="103"/>
    </row>
    <row r="27" spans="2:5" ht="27" thickTop="1" thickBot="1" x14ac:dyDescent="0.35">
      <c r="B27" s="102"/>
      <c r="C27" s="158" t="s">
        <v>25</v>
      </c>
      <c r="D27" s="159"/>
      <c r="E27" s="103"/>
    </row>
    <row r="28" spans="2:5" ht="91.2" thickTop="1" thickBot="1" x14ac:dyDescent="0.35">
      <c r="B28" s="102"/>
      <c r="C28" s="12" t="s">
        <v>26</v>
      </c>
      <c r="D28" s="13" t="s">
        <v>59</v>
      </c>
      <c r="E28" s="103"/>
    </row>
    <row r="29" spans="2:5" ht="15.6" thickTop="1" thickBot="1" x14ac:dyDescent="0.35">
      <c r="B29" s="102"/>
      <c r="C29" s="19"/>
      <c r="D29" s="19"/>
      <c r="E29" s="103"/>
    </row>
    <row r="30" spans="2:5" ht="27" thickTop="1" thickBot="1" x14ac:dyDescent="0.35">
      <c r="B30" s="102"/>
      <c r="C30" s="158" t="s">
        <v>24</v>
      </c>
      <c r="D30" s="159"/>
      <c r="E30" s="103"/>
    </row>
    <row r="31" spans="2:5" ht="19.2" thickTop="1" thickBot="1" x14ac:dyDescent="0.35">
      <c r="B31" s="102"/>
      <c r="C31" s="12" t="s">
        <v>201</v>
      </c>
      <c r="D31" s="13" t="s">
        <v>199</v>
      </c>
      <c r="E31" s="103"/>
    </row>
    <row r="32" spans="2:5" ht="15.6" thickTop="1" thickBot="1" x14ac:dyDescent="0.35">
      <c r="B32" s="102"/>
      <c r="C32" s="19"/>
      <c r="D32" s="19"/>
      <c r="E32" s="103"/>
    </row>
    <row r="33" spans="2:5" ht="27" thickTop="1" thickBot="1" x14ac:dyDescent="0.55000000000000004">
      <c r="B33" s="102"/>
      <c r="C33" s="160" t="s">
        <v>27</v>
      </c>
      <c r="D33" s="161"/>
      <c r="E33" s="103"/>
    </row>
    <row r="34" spans="2:5" ht="38.4" customHeight="1" thickTop="1" x14ac:dyDescent="0.35">
      <c r="B34" s="102"/>
      <c r="C34" s="2" t="s">
        <v>28</v>
      </c>
      <c r="D34" s="58" t="s">
        <v>47</v>
      </c>
      <c r="E34" s="103"/>
    </row>
    <row r="35" spans="2:5" ht="36" x14ac:dyDescent="0.35">
      <c r="B35" s="102"/>
      <c r="C35" s="57" t="s">
        <v>118</v>
      </c>
      <c r="D35" s="62" t="s">
        <v>122</v>
      </c>
      <c r="E35" s="103"/>
    </row>
    <row r="36" spans="2:5" ht="18" x14ac:dyDescent="0.35">
      <c r="B36" s="102"/>
      <c r="C36" s="15" t="s">
        <v>29</v>
      </c>
      <c r="D36" s="27" t="s">
        <v>48</v>
      </c>
      <c r="E36" s="103"/>
    </row>
    <row r="37" spans="2:5" ht="18" x14ac:dyDescent="0.35">
      <c r="B37" s="102"/>
      <c r="C37" s="15" t="s">
        <v>30</v>
      </c>
      <c r="D37" s="28">
        <v>46402</v>
      </c>
      <c r="E37" s="103"/>
    </row>
    <row r="38" spans="2:5" ht="18.600000000000001" thickBot="1" x14ac:dyDescent="0.4">
      <c r="B38" s="102"/>
      <c r="C38" s="17" t="s">
        <v>31</v>
      </c>
      <c r="D38" s="29"/>
      <c r="E38" s="103"/>
    </row>
    <row r="39" spans="2:5" ht="18.600000000000001" thickTop="1" x14ac:dyDescent="0.35">
      <c r="B39" s="102"/>
      <c r="C39" s="2" t="s">
        <v>28</v>
      </c>
      <c r="D39" s="58" t="s">
        <v>57</v>
      </c>
      <c r="E39" s="103"/>
    </row>
    <row r="40" spans="2:5" ht="18" x14ac:dyDescent="0.35">
      <c r="B40" s="102"/>
      <c r="C40" s="57" t="s">
        <v>118</v>
      </c>
      <c r="D40" s="31" t="s">
        <v>123</v>
      </c>
      <c r="E40" s="103"/>
    </row>
    <row r="41" spans="2:5" ht="18" x14ac:dyDescent="0.35">
      <c r="B41" s="102"/>
      <c r="C41" s="15" t="s">
        <v>29</v>
      </c>
      <c r="D41" s="27" t="s">
        <v>51</v>
      </c>
      <c r="E41" s="103"/>
    </row>
    <row r="42" spans="2:5" ht="18" x14ac:dyDescent="0.35">
      <c r="B42" s="102"/>
      <c r="C42" s="15" t="s">
        <v>30</v>
      </c>
      <c r="D42" s="28">
        <v>46539</v>
      </c>
      <c r="E42" s="103"/>
    </row>
    <row r="43" spans="2:5" ht="18.600000000000001" thickBot="1" x14ac:dyDescent="0.4">
      <c r="B43" s="102"/>
      <c r="C43" s="17" t="s">
        <v>31</v>
      </c>
      <c r="D43" s="29"/>
      <c r="E43" s="103"/>
    </row>
    <row r="44" spans="2:5" ht="18.600000000000001" thickTop="1" x14ac:dyDescent="0.35">
      <c r="B44" s="102"/>
      <c r="C44" s="2" t="s">
        <v>28</v>
      </c>
      <c r="D44" s="31" t="s">
        <v>49</v>
      </c>
      <c r="E44" s="103"/>
    </row>
    <row r="45" spans="2:5" ht="18" x14ac:dyDescent="0.35">
      <c r="B45" s="102"/>
      <c r="C45" s="57" t="s">
        <v>118</v>
      </c>
      <c r="D45" s="59" t="s">
        <v>124</v>
      </c>
      <c r="E45" s="103"/>
    </row>
    <row r="46" spans="2:5" ht="18" x14ac:dyDescent="0.35">
      <c r="B46" s="102"/>
      <c r="C46" s="15" t="s">
        <v>29</v>
      </c>
      <c r="D46" s="27" t="s">
        <v>52</v>
      </c>
      <c r="E46" s="103"/>
    </row>
    <row r="47" spans="2:5" ht="18" x14ac:dyDescent="0.35">
      <c r="B47" s="102"/>
      <c r="C47" s="15" t="s">
        <v>30</v>
      </c>
      <c r="D47" s="28">
        <v>46478</v>
      </c>
      <c r="E47" s="103"/>
    </row>
    <row r="48" spans="2:5" ht="18.600000000000001" thickBot="1" x14ac:dyDescent="0.4">
      <c r="B48" s="102"/>
      <c r="C48" s="17" t="s">
        <v>31</v>
      </c>
      <c r="D48" s="29"/>
      <c r="E48" s="103"/>
    </row>
    <row r="49" spans="2:5" ht="18.600000000000001" thickTop="1" x14ac:dyDescent="0.35">
      <c r="B49" s="102"/>
      <c r="C49" s="2" t="s">
        <v>28</v>
      </c>
      <c r="D49" s="31" t="s">
        <v>50</v>
      </c>
      <c r="E49" s="103"/>
    </row>
    <row r="50" spans="2:5" ht="18" x14ac:dyDescent="0.35">
      <c r="B50" s="102"/>
      <c r="C50" s="57" t="s">
        <v>118</v>
      </c>
      <c r="D50" s="59" t="s">
        <v>124</v>
      </c>
      <c r="E50" s="103"/>
    </row>
    <row r="51" spans="2:5" ht="18" x14ac:dyDescent="0.35">
      <c r="B51" s="102"/>
      <c r="C51" s="15" t="s">
        <v>29</v>
      </c>
      <c r="D51" s="27" t="s">
        <v>53</v>
      </c>
      <c r="E51" s="103"/>
    </row>
    <row r="52" spans="2:5" ht="18" x14ac:dyDescent="0.35">
      <c r="B52" s="102"/>
      <c r="C52" s="15" t="s">
        <v>30</v>
      </c>
      <c r="D52" s="27" t="s">
        <v>58</v>
      </c>
      <c r="E52" s="103"/>
    </row>
    <row r="53" spans="2:5" ht="18.600000000000001" thickBot="1" x14ac:dyDescent="0.4">
      <c r="B53" s="102"/>
      <c r="C53" s="17" t="s">
        <v>31</v>
      </c>
      <c r="D53" s="29"/>
      <c r="E53" s="103"/>
    </row>
    <row r="54" spans="2:5" ht="18.600000000000001" thickTop="1" x14ac:dyDescent="0.35">
      <c r="B54" s="102"/>
      <c r="C54" s="4" t="s">
        <v>28</v>
      </c>
      <c r="D54" s="30"/>
      <c r="E54" s="103"/>
    </row>
    <row r="55" spans="2:5" ht="18" x14ac:dyDescent="0.35">
      <c r="B55" s="102"/>
      <c r="C55" s="61" t="s">
        <v>118</v>
      </c>
      <c r="D55" s="60"/>
      <c r="E55" s="103"/>
    </row>
    <row r="56" spans="2:5" ht="18" x14ac:dyDescent="0.35">
      <c r="B56" s="102"/>
      <c r="C56" s="15" t="s">
        <v>29</v>
      </c>
      <c r="D56" s="27"/>
      <c r="E56" s="103"/>
    </row>
    <row r="57" spans="2:5" ht="18" x14ac:dyDescent="0.35">
      <c r="B57" s="102"/>
      <c r="C57" s="15" t="s">
        <v>30</v>
      </c>
      <c r="D57" s="27"/>
      <c r="E57" s="103"/>
    </row>
    <row r="58" spans="2:5" ht="18.600000000000001" thickBot="1" x14ac:dyDescent="0.4">
      <c r="B58" s="102"/>
      <c r="C58" s="17" t="s">
        <v>31</v>
      </c>
      <c r="D58" s="29"/>
      <c r="E58" s="103"/>
    </row>
    <row r="59" spans="2:5" ht="15.6" thickTop="1" thickBot="1" x14ac:dyDescent="0.35">
      <c r="B59" s="102"/>
      <c r="C59" s="19"/>
      <c r="D59" s="19"/>
      <c r="E59" s="103"/>
    </row>
    <row r="60" spans="2:5" ht="27" thickTop="1" thickBot="1" x14ac:dyDescent="0.55000000000000004">
      <c r="B60" s="102"/>
      <c r="C60" s="160" t="s">
        <v>32</v>
      </c>
      <c r="D60" s="161"/>
      <c r="E60" s="103"/>
    </row>
    <row r="61" spans="2:5" ht="18.600000000000001" thickTop="1" x14ac:dyDescent="0.35">
      <c r="B61" s="102"/>
      <c r="C61" s="2" t="s">
        <v>28</v>
      </c>
      <c r="D61" s="14"/>
      <c r="E61" s="103"/>
    </row>
    <row r="62" spans="2:5" ht="18" x14ac:dyDescent="0.35">
      <c r="B62" s="102"/>
      <c r="C62" s="15" t="s">
        <v>29</v>
      </c>
      <c r="D62" s="16"/>
      <c r="E62" s="103"/>
    </row>
    <row r="63" spans="2:5" ht="18" x14ac:dyDescent="0.35">
      <c r="B63" s="102"/>
      <c r="C63" s="15" t="s">
        <v>33</v>
      </c>
      <c r="D63" s="16"/>
      <c r="E63" s="103"/>
    </row>
    <row r="64" spans="2:5" ht="18.600000000000001" thickBot="1" x14ac:dyDescent="0.4">
      <c r="B64" s="102"/>
      <c r="C64" s="17" t="s">
        <v>34</v>
      </c>
      <c r="D64" s="18"/>
      <c r="E64" s="103"/>
    </row>
    <row r="65" spans="2:5" ht="18.600000000000001" thickTop="1" x14ac:dyDescent="0.35">
      <c r="B65" s="102"/>
      <c r="C65" s="2" t="s">
        <v>28</v>
      </c>
      <c r="D65" s="14"/>
      <c r="E65" s="103"/>
    </row>
    <row r="66" spans="2:5" ht="18" x14ac:dyDescent="0.35">
      <c r="B66" s="102"/>
      <c r="C66" s="15" t="s">
        <v>29</v>
      </c>
      <c r="D66" s="16"/>
      <c r="E66" s="103"/>
    </row>
    <row r="67" spans="2:5" ht="18" x14ac:dyDescent="0.35">
      <c r="B67" s="102"/>
      <c r="C67" s="15" t="s">
        <v>33</v>
      </c>
      <c r="D67" s="16"/>
      <c r="E67" s="103"/>
    </row>
    <row r="68" spans="2:5" ht="18.600000000000001" thickBot="1" x14ac:dyDescent="0.4">
      <c r="B68" s="101"/>
      <c r="C68" s="17" t="s">
        <v>34</v>
      </c>
      <c r="D68" s="18"/>
      <c r="E68" s="104"/>
    </row>
    <row r="69" spans="2:5" ht="18.600000000000001" thickTop="1" x14ac:dyDescent="0.35">
      <c r="B69" s="108"/>
      <c r="C69" s="2" t="s">
        <v>28</v>
      </c>
      <c r="D69" s="14"/>
      <c r="E69" s="108"/>
    </row>
    <row r="70" spans="2:5" ht="18" x14ac:dyDescent="0.35">
      <c r="B70" s="102"/>
      <c r="C70" s="15" t="s">
        <v>29</v>
      </c>
      <c r="D70" s="16"/>
      <c r="E70" s="103"/>
    </row>
    <row r="71" spans="2:5" ht="18" x14ac:dyDescent="0.35">
      <c r="B71" s="102"/>
      <c r="C71" s="15" t="s">
        <v>33</v>
      </c>
      <c r="D71" s="16"/>
      <c r="E71" s="103"/>
    </row>
    <row r="72" spans="2:5" ht="18.600000000000001" thickBot="1" x14ac:dyDescent="0.4">
      <c r="B72" s="102"/>
      <c r="C72" s="17" t="s">
        <v>34</v>
      </c>
      <c r="D72" s="18"/>
      <c r="E72" s="103"/>
    </row>
    <row r="73" spans="2:5" ht="15" thickTop="1" x14ac:dyDescent="0.3">
      <c r="B73" s="102"/>
      <c r="C73" s="19"/>
      <c r="D73" s="19"/>
      <c r="E73" s="103"/>
    </row>
    <row r="74" spans="2:5" ht="15" thickBot="1" x14ac:dyDescent="0.35">
      <c r="B74" s="111"/>
      <c r="C74" s="19"/>
      <c r="D74" s="19"/>
      <c r="E74" s="103"/>
    </row>
    <row r="75" spans="2:5" ht="15.6" thickTop="1" thickBot="1" x14ac:dyDescent="0.35">
      <c r="C75" s="105"/>
      <c r="D75" s="105"/>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Biomedical Engineering </vt:lpstr>
      <vt:lpstr>Results &amp; Data Trending </vt:lpstr>
      <vt:lpstr>QAPI Completion Guide</vt:lpstr>
      <vt:lpstr>Example </vt:lpstr>
      <vt:lpstr>'Results &amp; Data Trending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Ann Marie Polichena</cp:lastModifiedBy>
  <cp:lastPrinted>2026-10-15T15:10:37Z</cp:lastPrinted>
  <dcterms:created xsi:type="dcterms:W3CDTF">2026-05-01T17:42:38Z</dcterms:created>
  <dcterms:modified xsi:type="dcterms:W3CDTF">2026-10-15T15:11:04Z</dcterms:modified>
</cp:coreProperties>
</file>